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-2024 School Year\"/>
    </mc:Choice>
  </mc:AlternateContent>
  <bookViews>
    <workbookView xWindow="0" yWindow="60" windowWidth="22980" windowHeight="9570" activeTab="1"/>
  </bookViews>
  <sheets>
    <sheet name="20-21" sheetId="1" r:id="rId1"/>
    <sheet name="22-23" sheetId="2" r:id="rId2"/>
  </sheets>
  <calcPr calcId="162913"/>
</workbook>
</file>

<file path=xl/calcChain.xml><?xml version="1.0" encoding="utf-8"?>
<calcChain xmlns="http://schemas.openxmlformats.org/spreadsheetml/2006/main">
  <c r="N57" i="2" l="1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G33" i="2"/>
  <c r="G23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5" i="2"/>
  <c r="G21" i="2"/>
  <c r="G19" i="2"/>
  <c r="G17" i="2"/>
  <c r="G15" i="2"/>
  <c r="G13" i="2"/>
  <c r="G11" i="2"/>
  <c r="G9" i="2"/>
  <c r="E9" i="2"/>
  <c r="E11" i="2"/>
  <c r="E13" i="2"/>
  <c r="M61" i="2" l="1"/>
  <c r="M59" i="2"/>
  <c r="M57" i="2"/>
  <c r="M55" i="2"/>
  <c r="M53" i="2"/>
  <c r="M51" i="2"/>
  <c r="M49" i="2"/>
  <c r="M47" i="2"/>
  <c r="M45" i="2"/>
  <c r="M43" i="2"/>
  <c r="M41" i="2"/>
  <c r="M39" i="2"/>
  <c r="M37" i="2"/>
  <c r="M35" i="2"/>
  <c r="M33" i="2"/>
  <c r="M31" i="2"/>
  <c r="M29" i="2"/>
  <c r="M27" i="2"/>
  <c r="M25" i="2"/>
  <c r="M23" i="2"/>
  <c r="M21" i="2"/>
  <c r="M19" i="2"/>
  <c r="M17" i="2"/>
  <c r="M15" i="2"/>
  <c r="M13" i="2"/>
  <c r="M11" i="2"/>
  <c r="M9" i="2"/>
  <c r="K63" i="2"/>
  <c r="K61" i="2"/>
  <c r="K59" i="2"/>
  <c r="K57" i="2"/>
  <c r="K55" i="2"/>
  <c r="K53" i="2"/>
  <c r="K51" i="2"/>
  <c r="K49" i="2"/>
  <c r="K47" i="2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9" i="2"/>
  <c r="I65" i="2"/>
  <c r="I63" i="2"/>
  <c r="I61" i="2"/>
  <c r="I59" i="2"/>
  <c r="I57" i="2"/>
  <c r="I55" i="2"/>
  <c r="I53" i="2"/>
  <c r="I51" i="2"/>
  <c r="I49" i="2"/>
  <c r="I47" i="2"/>
  <c r="I45" i="2"/>
  <c r="I43" i="2"/>
  <c r="I41" i="2"/>
  <c r="I39" i="2"/>
  <c r="I37" i="2"/>
  <c r="I35" i="2"/>
  <c r="I33" i="2"/>
  <c r="I31" i="2"/>
  <c r="I29" i="2"/>
  <c r="I27" i="2"/>
  <c r="I25" i="2"/>
  <c r="I23" i="2"/>
  <c r="I21" i="2"/>
  <c r="I19" i="2"/>
  <c r="I17" i="2"/>
  <c r="I15" i="2"/>
  <c r="I13" i="2"/>
  <c r="I11" i="2"/>
  <c r="I9" i="2"/>
  <c r="E10" i="2" l="1"/>
  <c r="E12" i="2"/>
  <c r="F9" i="2"/>
  <c r="N10" i="2" l="1"/>
  <c r="E12" i="1"/>
  <c r="N11" i="1"/>
  <c r="N13" i="1" s="1"/>
  <c r="N10" i="1"/>
  <c r="E10" i="1"/>
  <c r="G9" i="1"/>
  <c r="F9" i="1" s="1"/>
  <c r="G10" i="2" l="1"/>
  <c r="F11" i="2"/>
  <c r="H9" i="2"/>
  <c r="N12" i="2"/>
  <c r="I9" i="1"/>
  <c r="I11" i="1"/>
  <c r="H9" i="1"/>
  <c r="K9" i="1"/>
  <c r="G11" i="1"/>
  <c r="N12" i="1"/>
  <c r="N15" i="1"/>
  <c r="H11" i="2" l="1"/>
  <c r="I10" i="2"/>
  <c r="N14" i="2"/>
  <c r="F13" i="2"/>
  <c r="G12" i="2"/>
  <c r="G14" i="2" s="1"/>
  <c r="G18" i="2" s="1"/>
  <c r="G22" i="2" s="1"/>
  <c r="G24" i="2" s="1"/>
  <c r="G26" i="2" s="1"/>
  <c r="G28" i="2" s="1"/>
  <c r="G30" i="2" s="1"/>
  <c r="G32" i="2" s="1"/>
  <c r="G34" i="2" s="1"/>
  <c r="G36" i="2" s="1"/>
  <c r="G38" i="2" s="1"/>
  <c r="G40" i="2" s="1"/>
  <c r="G42" i="2" s="1"/>
  <c r="G44" i="2" s="1"/>
  <c r="G46" i="2" s="1"/>
  <c r="G48" i="2" s="1"/>
  <c r="G50" i="2" s="1"/>
  <c r="G52" i="2" s="1"/>
  <c r="G54" i="2" s="1"/>
  <c r="G56" i="2" s="1"/>
  <c r="G58" i="2" s="1"/>
  <c r="G60" i="2" s="1"/>
  <c r="G62" i="2" s="1"/>
  <c r="G64" i="2" s="1"/>
  <c r="G66" i="2" s="1"/>
  <c r="J9" i="2"/>
  <c r="F11" i="1"/>
  <c r="G10" i="1"/>
  <c r="G13" i="1"/>
  <c r="K11" i="1"/>
  <c r="J9" i="1"/>
  <c r="M9" i="1"/>
  <c r="N14" i="1"/>
  <c r="N17" i="1"/>
  <c r="I13" i="1"/>
  <c r="I10" i="1"/>
  <c r="H11" i="1"/>
  <c r="L9" i="2" l="1"/>
  <c r="N16" i="2"/>
  <c r="K10" i="2"/>
  <c r="J11" i="2"/>
  <c r="I12" i="2"/>
  <c r="H13" i="2"/>
  <c r="N19" i="1"/>
  <c r="N16" i="1"/>
  <c r="J11" i="1"/>
  <c r="K13" i="1"/>
  <c r="K10" i="1"/>
  <c r="G12" i="1"/>
  <c r="G14" i="1" s="1"/>
  <c r="G16" i="1" s="1"/>
  <c r="G18" i="1" s="1"/>
  <c r="G20" i="1" s="1"/>
  <c r="G22" i="1" s="1"/>
  <c r="G24" i="1" s="1"/>
  <c r="G26" i="1" s="1"/>
  <c r="G28" i="1" s="1"/>
  <c r="G30" i="1" s="1"/>
  <c r="G32" i="1" s="1"/>
  <c r="G34" i="1" s="1"/>
  <c r="G36" i="1" s="1"/>
  <c r="G38" i="1" s="1"/>
  <c r="G40" i="1" s="1"/>
  <c r="G42" i="1" s="1"/>
  <c r="G44" i="1" s="1"/>
  <c r="G46" i="1" s="1"/>
  <c r="G48" i="1" s="1"/>
  <c r="G50" i="1" s="1"/>
  <c r="G52" i="1" s="1"/>
  <c r="G54" i="1" s="1"/>
  <c r="G56" i="1" s="1"/>
  <c r="G58" i="1" s="1"/>
  <c r="G60" i="1" s="1"/>
  <c r="G62" i="1" s="1"/>
  <c r="G64" i="1" s="1"/>
  <c r="G66" i="1" s="1"/>
  <c r="G15" i="1"/>
  <c r="G17" i="1" s="1"/>
  <c r="G19" i="1" s="1"/>
  <c r="G21" i="1" s="1"/>
  <c r="G23" i="1" s="1"/>
  <c r="G25" i="1" s="1"/>
  <c r="G27" i="1" s="1"/>
  <c r="G29" i="1" s="1"/>
  <c r="G31" i="1" s="1"/>
  <c r="G33" i="1" s="1"/>
  <c r="G35" i="1" s="1"/>
  <c r="G37" i="1" s="1"/>
  <c r="G39" i="1" s="1"/>
  <c r="G41" i="1" s="1"/>
  <c r="G43" i="1" s="1"/>
  <c r="G45" i="1" s="1"/>
  <c r="G47" i="1" s="1"/>
  <c r="G49" i="1" s="1"/>
  <c r="G51" i="1" s="1"/>
  <c r="G53" i="1" s="1"/>
  <c r="G55" i="1" s="1"/>
  <c r="G57" i="1" s="1"/>
  <c r="G59" i="1" s="1"/>
  <c r="G61" i="1" s="1"/>
  <c r="G63" i="1" s="1"/>
  <c r="G65" i="1" s="1"/>
  <c r="G67" i="1" s="1"/>
  <c r="F13" i="1"/>
  <c r="P9" i="1"/>
  <c r="Q9" i="1" s="1"/>
  <c r="M11" i="1"/>
  <c r="L9" i="1"/>
  <c r="H13" i="1"/>
  <c r="I12" i="1"/>
  <c r="I15" i="1"/>
  <c r="N18" i="2" l="1"/>
  <c r="J13" i="2"/>
  <c r="K12" i="2"/>
  <c r="I14" i="2"/>
  <c r="L11" i="2"/>
  <c r="M10" i="2"/>
  <c r="K15" i="1"/>
  <c r="K12" i="1"/>
  <c r="J13" i="1"/>
  <c r="I17" i="1"/>
  <c r="I14" i="1"/>
  <c r="M13" i="1"/>
  <c r="P11" i="1"/>
  <c r="Q11" i="1" s="1"/>
  <c r="M10" i="1"/>
  <c r="L11" i="1"/>
  <c r="N18" i="1"/>
  <c r="N21" i="1"/>
  <c r="L13" i="2" l="1"/>
  <c r="M12" i="2"/>
  <c r="I16" i="2"/>
  <c r="J15" i="2"/>
  <c r="K14" i="2"/>
  <c r="N20" i="2"/>
  <c r="N23" i="1"/>
  <c r="N20" i="1"/>
  <c r="I16" i="1"/>
  <c r="I19" i="1"/>
  <c r="L13" i="1"/>
  <c r="M12" i="1"/>
  <c r="M15" i="1"/>
  <c r="P13" i="1"/>
  <c r="Q13" i="1" s="1"/>
  <c r="J15" i="1"/>
  <c r="K14" i="1"/>
  <c r="K17" i="1"/>
  <c r="I18" i="2" l="1"/>
  <c r="J17" i="2"/>
  <c r="K16" i="2"/>
  <c r="N22" i="2"/>
  <c r="M14" i="2"/>
  <c r="L15" i="2"/>
  <c r="N22" i="1"/>
  <c r="N25" i="1"/>
  <c r="I21" i="1"/>
  <c r="I18" i="1"/>
  <c r="K19" i="1"/>
  <c r="K16" i="1"/>
  <c r="J17" i="1"/>
  <c r="M17" i="1"/>
  <c r="P15" i="1"/>
  <c r="Q15" i="1" s="1"/>
  <c r="M14" i="1"/>
  <c r="L15" i="1"/>
  <c r="N24" i="2" l="1"/>
  <c r="M16" i="2"/>
  <c r="L17" i="2"/>
  <c r="J19" i="2"/>
  <c r="K18" i="2"/>
  <c r="I20" i="2"/>
  <c r="L17" i="1"/>
  <c r="P17" i="1"/>
  <c r="Q17" i="1" s="1"/>
  <c r="M16" i="1"/>
  <c r="M19" i="1"/>
  <c r="I20" i="1"/>
  <c r="I23" i="1"/>
  <c r="N24" i="1"/>
  <c r="N27" i="1"/>
  <c r="J19" i="1"/>
  <c r="K21" i="1"/>
  <c r="K18" i="1"/>
  <c r="J21" i="2" l="1"/>
  <c r="K20" i="2"/>
  <c r="M18" i="2"/>
  <c r="L19" i="2"/>
  <c r="I22" i="2"/>
  <c r="N26" i="2"/>
  <c r="N26" i="1"/>
  <c r="N29" i="1"/>
  <c r="M21" i="1"/>
  <c r="P19" i="1"/>
  <c r="Q19" i="1" s="1"/>
  <c r="M18" i="1"/>
  <c r="L19" i="1"/>
  <c r="K23" i="1"/>
  <c r="K20" i="1"/>
  <c r="J21" i="1"/>
  <c r="I25" i="1"/>
  <c r="I22" i="1"/>
  <c r="J23" i="2" l="1"/>
  <c r="K22" i="2"/>
  <c r="I24" i="2"/>
  <c r="I26" i="2" s="1"/>
  <c r="I28" i="2" s="1"/>
  <c r="I30" i="2" s="1"/>
  <c r="I32" i="2" s="1"/>
  <c r="I34" i="2" s="1"/>
  <c r="I36" i="2" s="1"/>
  <c r="I38" i="2" s="1"/>
  <c r="I40" i="2" s="1"/>
  <c r="I42" i="2" s="1"/>
  <c r="I44" i="2" s="1"/>
  <c r="I46" i="2" s="1"/>
  <c r="I48" i="2" s="1"/>
  <c r="I50" i="2" s="1"/>
  <c r="I52" i="2" s="1"/>
  <c r="I54" i="2" s="1"/>
  <c r="I56" i="2" s="1"/>
  <c r="I58" i="2" s="1"/>
  <c r="I60" i="2" s="1"/>
  <c r="I62" i="2" s="1"/>
  <c r="I64" i="2" s="1"/>
  <c r="I66" i="2" s="1"/>
  <c r="N28" i="2"/>
  <c r="M20" i="2"/>
  <c r="L21" i="2"/>
  <c r="J23" i="1"/>
  <c r="K22" i="1"/>
  <c r="K25" i="1"/>
  <c r="L21" i="1"/>
  <c r="M23" i="1"/>
  <c r="P21" i="1"/>
  <c r="Q21" i="1" s="1"/>
  <c r="M20" i="1"/>
  <c r="I24" i="1"/>
  <c r="I26" i="1" s="1"/>
  <c r="I28" i="1" s="1"/>
  <c r="I30" i="1" s="1"/>
  <c r="I32" i="1" s="1"/>
  <c r="I34" i="1" s="1"/>
  <c r="I36" i="1" s="1"/>
  <c r="I38" i="1" s="1"/>
  <c r="I40" i="1" s="1"/>
  <c r="I42" i="1" s="1"/>
  <c r="I44" i="1" s="1"/>
  <c r="I46" i="1" s="1"/>
  <c r="I48" i="1" s="1"/>
  <c r="I50" i="1" s="1"/>
  <c r="I52" i="1" s="1"/>
  <c r="I54" i="1" s="1"/>
  <c r="I56" i="1" s="1"/>
  <c r="I58" i="1" s="1"/>
  <c r="I60" i="1" s="1"/>
  <c r="I62" i="1" s="1"/>
  <c r="I64" i="1" s="1"/>
  <c r="I66" i="1" s="1"/>
  <c r="I27" i="1"/>
  <c r="I29" i="1" s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I51" i="1" s="1"/>
  <c r="I53" i="1" s="1"/>
  <c r="I55" i="1" s="1"/>
  <c r="I57" i="1" s="1"/>
  <c r="I59" i="1" s="1"/>
  <c r="I61" i="1" s="1"/>
  <c r="I63" i="1" s="1"/>
  <c r="I65" i="1" s="1"/>
  <c r="I67" i="1" s="1"/>
  <c r="N31" i="1"/>
  <c r="N28" i="1"/>
  <c r="J25" i="2" l="1"/>
  <c r="K24" i="2"/>
  <c r="N30" i="2"/>
  <c r="M22" i="2"/>
  <c r="L23" i="2"/>
  <c r="M25" i="1"/>
  <c r="P23" i="1"/>
  <c r="Q23" i="1" s="1"/>
  <c r="M22" i="1"/>
  <c r="L23" i="1"/>
  <c r="K24" i="1"/>
  <c r="K27" i="1"/>
  <c r="J25" i="1"/>
  <c r="N33" i="1"/>
  <c r="N30" i="1"/>
  <c r="M24" i="2" l="1"/>
  <c r="L25" i="2"/>
  <c r="N32" i="2"/>
  <c r="K26" i="2"/>
  <c r="L25" i="1"/>
  <c r="P25" i="1"/>
  <c r="Q25" i="1" s="1"/>
  <c r="M24" i="1"/>
  <c r="M27" i="1"/>
  <c r="N35" i="1"/>
  <c r="N32" i="1"/>
  <c r="K29" i="1"/>
  <c r="K26" i="1"/>
  <c r="N34" i="2" l="1"/>
  <c r="K28" i="2"/>
  <c r="K30" i="2" s="1"/>
  <c r="K32" i="2" s="1"/>
  <c r="K34" i="2" s="1"/>
  <c r="K36" i="2" s="1"/>
  <c r="K38" i="2" s="1"/>
  <c r="K40" i="2" s="1"/>
  <c r="K42" i="2" s="1"/>
  <c r="K44" i="2" s="1"/>
  <c r="K46" i="2" s="1"/>
  <c r="K48" i="2" s="1"/>
  <c r="K50" i="2" s="1"/>
  <c r="K52" i="2" s="1"/>
  <c r="K54" i="2" s="1"/>
  <c r="K56" i="2" s="1"/>
  <c r="K58" i="2" s="1"/>
  <c r="K60" i="2" s="1"/>
  <c r="K62" i="2" s="1"/>
  <c r="K64" i="2" s="1"/>
  <c r="K66" i="2" s="1"/>
  <c r="M26" i="2"/>
  <c r="L27" i="2"/>
  <c r="L27" i="1"/>
  <c r="P27" i="1"/>
  <c r="Q27" i="1" s="1"/>
  <c r="M26" i="1"/>
  <c r="M29" i="1"/>
  <c r="K28" i="1"/>
  <c r="K30" i="1" s="1"/>
  <c r="K32" i="1" s="1"/>
  <c r="K34" i="1" s="1"/>
  <c r="K36" i="1" s="1"/>
  <c r="K38" i="1" s="1"/>
  <c r="K40" i="1" s="1"/>
  <c r="K42" i="1" s="1"/>
  <c r="K44" i="1" s="1"/>
  <c r="K46" i="1" s="1"/>
  <c r="K48" i="1" s="1"/>
  <c r="K50" i="1" s="1"/>
  <c r="K52" i="1" s="1"/>
  <c r="K54" i="1" s="1"/>
  <c r="K56" i="1" s="1"/>
  <c r="K58" i="1" s="1"/>
  <c r="K60" i="1" s="1"/>
  <c r="K62" i="1" s="1"/>
  <c r="K64" i="1" s="1"/>
  <c r="K66" i="1" s="1"/>
  <c r="K31" i="1"/>
  <c r="K33" i="1" s="1"/>
  <c r="K35" i="1" s="1"/>
  <c r="K37" i="1" s="1"/>
  <c r="K39" i="1" s="1"/>
  <c r="K41" i="1" s="1"/>
  <c r="K43" i="1" s="1"/>
  <c r="K45" i="1" s="1"/>
  <c r="K47" i="1" s="1"/>
  <c r="K49" i="1" s="1"/>
  <c r="K51" i="1" s="1"/>
  <c r="K53" i="1" s="1"/>
  <c r="K55" i="1" s="1"/>
  <c r="K57" i="1" s="1"/>
  <c r="K59" i="1" s="1"/>
  <c r="K61" i="1" s="1"/>
  <c r="K63" i="1" s="1"/>
  <c r="K65" i="1" s="1"/>
  <c r="K67" i="1" s="1"/>
  <c r="N37" i="1"/>
  <c r="N34" i="1"/>
  <c r="N36" i="2" l="1"/>
  <c r="L29" i="2"/>
  <c r="M28" i="2"/>
  <c r="P29" i="1"/>
  <c r="Q29" i="1" s="1"/>
  <c r="M28" i="1"/>
  <c r="L29" i="1"/>
  <c r="M31" i="1"/>
  <c r="N39" i="1"/>
  <c r="N36" i="1"/>
  <c r="M30" i="2" l="1"/>
  <c r="N38" i="2"/>
  <c r="P31" i="1"/>
  <c r="Q31" i="1" s="1"/>
  <c r="M33" i="1"/>
  <c r="M30" i="1"/>
  <c r="N41" i="1"/>
  <c r="N38" i="1"/>
  <c r="M32" i="2" l="1"/>
  <c r="N40" i="2"/>
  <c r="N43" i="1"/>
  <c r="N40" i="1"/>
  <c r="P33" i="1"/>
  <c r="Q33" i="1" s="1"/>
  <c r="M35" i="1"/>
  <c r="M32" i="1"/>
  <c r="N42" i="2" l="1"/>
  <c r="M34" i="2"/>
  <c r="P35" i="1"/>
  <c r="Q35" i="1" s="1"/>
  <c r="M37" i="1"/>
  <c r="M34" i="1"/>
  <c r="N45" i="1"/>
  <c r="N42" i="1"/>
  <c r="M36" i="2" l="1"/>
  <c r="N44" i="2"/>
  <c r="N47" i="1"/>
  <c r="N44" i="1"/>
  <c r="P37" i="1"/>
  <c r="Q37" i="1" s="1"/>
  <c r="M39" i="1"/>
  <c r="M36" i="1"/>
  <c r="N46" i="2" l="1"/>
  <c r="M38" i="2"/>
  <c r="P39" i="1"/>
  <c r="Q39" i="1" s="1"/>
  <c r="M41" i="1"/>
  <c r="M38" i="1"/>
  <c r="N49" i="1"/>
  <c r="N46" i="1"/>
  <c r="M40" i="2" l="1"/>
  <c r="N48" i="2"/>
  <c r="N48" i="1"/>
  <c r="N51" i="1"/>
  <c r="P41" i="1"/>
  <c r="Q41" i="1" s="1"/>
  <c r="M43" i="1"/>
  <c r="M40" i="1"/>
  <c r="N50" i="2" l="1"/>
  <c r="M42" i="2"/>
  <c r="P43" i="1"/>
  <c r="Q43" i="1" s="1"/>
  <c r="M45" i="1"/>
  <c r="M42" i="1"/>
  <c r="N50" i="1"/>
  <c r="N53" i="1"/>
  <c r="M44" i="2" l="1"/>
  <c r="N52" i="2"/>
  <c r="P45" i="1"/>
  <c r="Q45" i="1" s="1"/>
  <c r="M47" i="1"/>
  <c r="M44" i="1"/>
  <c r="N52" i="1"/>
  <c r="N55" i="1"/>
  <c r="N54" i="2" l="1"/>
  <c r="N56" i="2" s="1"/>
  <c r="N58" i="2" s="1"/>
  <c r="N60" i="2" s="1"/>
  <c r="N62" i="2" s="1"/>
  <c r="N64" i="2" s="1"/>
  <c r="N66" i="2" s="1"/>
  <c r="M46" i="2"/>
  <c r="P47" i="1"/>
  <c r="Q47" i="1" s="1"/>
  <c r="M49" i="1"/>
  <c r="M46" i="1"/>
  <c r="N54" i="1"/>
  <c r="N56" i="1" s="1"/>
  <c r="N58" i="1" s="1"/>
  <c r="N60" i="1" s="1"/>
  <c r="N62" i="1" s="1"/>
  <c r="N64" i="1" s="1"/>
  <c r="N66" i="1" s="1"/>
  <c r="N57" i="1"/>
  <c r="N59" i="1" s="1"/>
  <c r="N61" i="1" s="1"/>
  <c r="N63" i="1" s="1"/>
  <c r="N65" i="1" s="1"/>
  <c r="N67" i="1" s="1"/>
  <c r="M48" i="2" l="1"/>
  <c r="M51" i="1"/>
  <c r="M48" i="1"/>
  <c r="M50" i="2" l="1"/>
  <c r="M50" i="1"/>
  <c r="M53" i="1"/>
  <c r="M52" i="2" l="1"/>
  <c r="M55" i="1"/>
  <c r="M52" i="1"/>
  <c r="M54" i="2" l="1"/>
  <c r="M56" i="2" s="1"/>
  <c r="M58" i="2" s="1"/>
  <c r="M60" i="2" s="1"/>
  <c r="M62" i="2" s="1"/>
  <c r="M64" i="2" s="1"/>
  <c r="M66" i="2" s="1"/>
  <c r="M54" i="1"/>
  <c r="M56" i="1" s="1"/>
  <c r="M58" i="1" s="1"/>
  <c r="M60" i="1" s="1"/>
  <c r="M62" i="1" s="1"/>
  <c r="M64" i="1" s="1"/>
  <c r="M66" i="1" s="1"/>
  <c r="M57" i="1"/>
  <c r="M59" i="1" s="1"/>
  <c r="M61" i="1" s="1"/>
  <c r="M63" i="1" s="1"/>
  <c r="M65" i="1" s="1"/>
  <c r="M67" i="1" s="1"/>
</calcChain>
</file>

<file path=xl/sharedStrings.xml><?xml version="1.0" encoding="utf-8"?>
<sst xmlns="http://schemas.openxmlformats.org/spreadsheetml/2006/main" count="121" uniqueCount="24">
  <si>
    <t>Column</t>
  </si>
  <si>
    <t>Dollar Amount Increase</t>
  </si>
  <si>
    <t>I</t>
  </si>
  <si>
    <t>II</t>
  </si>
  <si>
    <t>III</t>
  </si>
  <si>
    <t>IV</t>
  </si>
  <si>
    <t>V</t>
  </si>
  <si>
    <t>VI</t>
  </si>
  <si>
    <t>Squared</t>
  </si>
  <si>
    <t>STP &amp; PIP</t>
  </si>
  <si>
    <t>Class I     BA</t>
  </si>
  <si>
    <t>Class II BA+30</t>
  </si>
  <si>
    <t>Class III BA+45</t>
  </si>
  <si>
    <t>Class IV BA+60</t>
  </si>
  <si>
    <t>Director of Curriculum</t>
  </si>
  <si>
    <t>Increase</t>
  </si>
  <si>
    <t>Salary</t>
  </si>
  <si>
    <t>STEP</t>
  </si>
  <si>
    <t xml:space="preserve"> </t>
  </si>
  <si>
    <t>Board Aproved July 10, 2019</t>
  </si>
  <si>
    <t>2020-2021 WINSHIP-ROBBINS Certificated Salary Schedule</t>
  </si>
  <si>
    <t>Board Aproved June 8, 2022</t>
  </si>
  <si>
    <t>updated 11/9/22 increased by 5% retro 7/1/22</t>
  </si>
  <si>
    <t>2023-2024 WINSHIP-ROBBINS Certificated Salary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</si>
</sst>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Arial"/>
      <family val="2"/>
    </font>
    <font>
      <i/>
      <sz val="14"/>
      <color rgb="FFFF0000"/>
      <name val="Arial"/>
      <family val="2"/>
    </font>
    <font>
      <i/>
      <sz val="12"/>
      <color rgb="FFFF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2" applyFont="1"/>
    <xf numFmtId="0" fontId="4" fillId="0" borderId="0" xfId="2" applyFont="1" applyAlignment="1"/>
    <xf numFmtId="0" fontId="4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42" fontId="3" fillId="3" borderId="3" xfId="2" applyNumberFormat="1" applyFont="1" applyFill="1" applyBorder="1"/>
    <xf numFmtId="0" fontId="5" fillId="0" borderId="0" xfId="2" applyFont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10" fontId="3" fillId="4" borderId="3" xfId="2" applyNumberFormat="1" applyFont="1" applyFill="1" applyBorder="1"/>
    <xf numFmtId="0" fontId="5" fillId="0" borderId="0" xfId="2" applyFont="1"/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10" fontId="7" fillId="6" borderId="11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0" borderId="0" xfId="0" applyNumberFormat="1" applyFont="1"/>
    <xf numFmtId="10" fontId="0" fillId="0" borderId="0" xfId="0" applyNumberForma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0" fontId="7" fillId="7" borderId="10" xfId="1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8" fillId="0" borderId="0" xfId="0" applyFont="1"/>
    <xf numFmtId="3" fontId="7" fillId="0" borderId="10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10" fontId="7" fillId="5" borderId="7" xfId="1" applyNumberFormat="1" applyFont="1" applyFill="1" applyBorder="1" applyAlignment="1">
      <alignment horizontal="center" vertical="center"/>
    </xf>
    <xf numFmtId="10" fontId="7" fillId="5" borderId="2" xfId="1" applyNumberFormat="1" applyFont="1" applyFill="1" applyBorder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0" fontId="6" fillId="0" borderId="0" xfId="1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0" fontId="9" fillId="0" borderId="0" xfId="1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7" fillId="0" borderId="12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0" fillId="0" borderId="3" xfId="0" applyBorder="1"/>
    <xf numFmtId="0" fontId="5" fillId="0" borderId="3" xfId="2" applyFont="1" applyBorder="1" applyAlignment="1">
      <alignment horizontal="left" wrapText="1"/>
    </xf>
    <xf numFmtId="0" fontId="5" fillId="0" borderId="3" xfId="2" applyFont="1" applyBorder="1"/>
    <xf numFmtId="0" fontId="3" fillId="0" borderId="3" xfId="2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0" fontId="7" fillId="6" borderId="3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10" fontId="7" fillId="7" borderId="3" xfId="1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10" fontId="7" fillId="5" borderId="3" xfId="1" applyNumberFormat="1" applyFont="1" applyFill="1" applyBorder="1" applyAlignment="1">
      <alignment horizontal="center" vertical="center"/>
    </xf>
    <xf numFmtId="10" fontId="7" fillId="0" borderId="3" xfId="1" applyNumberFormat="1" applyFont="1" applyFill="1" applyBorder="1" applyAlignment="1">
      <alignment horizontal="center" vertical="center"/>
    </xf>
    <xf numFmtId="10" fontId="6" fillId="0" borderId="3" xfId="1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0" fontId="9" fillId="0" borderId="3" xfId="1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" fillId="0" borderId="3" xfId="2" applyFont="1" applyBorder="1" applyAlignment="1">
      <alignment horizontal="right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3" xfId="2" applyFont="1" applyBorder="1" applyAlignment="1">
      <alignment horizontal="center" vertical="center"/>
    </xf>
    <xf numFmtId="0" fontId="2" fillId="0" borderId="3" xfId="2" applyFont="1" applyBorder="1"/>
    <xf numFmtId="0" fontId="2" fillId="0" borderId="3" xfId="2" applyFont="1" applyBorder="1" applyAlignment="1">
      <alignment horizontal="center"/>
    </xf>
    <xf numFmtId="10" fontId="3" fillId="8" borderId="3" xfId="2" applyNumberFormat="1" applyFont="1" applyFill="1" applyBorder="1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</cellXfs>
  <cellStyles count="3">
    <cellStyle name="Heading 4" xfId="2" builtinId="1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9"/>
  <sheetViews>
    <sheetView topLeftCell="A15" workbookViewId="0">
      <selection activeCell="I1" sqref="I1"/>
    </sheetView>
  </sheetViews>
  <sheetFormatPr defaultRowHeight="15" x14ac:dyDescent="0.25"/>
  <cols>
    <col min="1" max="1" width="2.7109375" customWidth="1"/>
    <col min="2" max="2" width="4.42578125" customWidth="1"/>
    <col min="3" max="3" width="11.42578125" style="57" customWidth="1"/>
    <col min="4" max="4" width="8.7109375" style="58"/>
    <col min="5" max="5" width="11.5703125" style="57" customWidth="1"/>
    <col min="6" max="6" width="11.5703125" style="57" hidden="1" customWidth="1"/>
    <col min="7" max="7" width="11.5703125" style="57" customWidth="1"/>
    <col min="8" max="8" width="11.5703125" style="57" hidden="1" customWidth="1"/>
    <col min="9" max="9" width="11.5703125" style="57" customWidth="1"/>
    <col min="10" max="10" width="11.5703125" style="57" hidden="1" customWidth="1"/>
    <col min="11" max="11" width="11.5703125" style="57" customWidth="1"/>
    <col min="12" max="12" width="11.5703125" style="57" hidden="1" customWidth="1"/>
    <col min="13" max="13" width="11.5703125" style="57" customWidth="1"/>
    <col min="14" max="14" width="12.7109375" style="57" customWidth="1"/>
    <col min="15" max="16" width="0" hidden="1" customWidth="1"/>
    <col min="17" max="17" width="12.28515625" hidden="1" customWidth="1"/>
  </cols>
  <sheetData>
    <row r="1" spans="3:17" ht="18" x14ac:dyDescent="0.25">
      <c r="C1" s="1"/>
      <c r="D1" s="2" t="s">
        <v>20</v>
      </c>
      <c r="E1" s="2"/>
      <c r="F1" s="2"/>
      <c r="G1" s="2"/>
      <c r="H1" s="2"/>
      <c r="I1" s="2"/>
      <c r="J1" s="2"/>
      <c r="K1" s="2"/>
      <c r="L1" s="2"/>
      <c r="M1" s="2"/>
      <c r="N1" s="3"/>
    </row>
    <row r="2" spans="3:17" ht="10.15" customHeight="1" thickBot="1" x14ac:dyDescent="0.3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3:17" ht="15.75" thickBot="1" x14ac:dyDescent="0.25">
      <c r="C3" s="4"/>
      <c r="D3" s="6"/>
      <c r="E3" s="7" t="s">
        <v>0</v>
      </c>
      <c r="F3" s="8"/>
      <c r="G3" s="9" t="s">
        <v>0</v>
      </c>
      <c r="H3" s="8"/>
      <c r="I3" s="9" t="s">
        <v>0</v>
      </c>
      <c r="J3" s="8"/>
      <c r="K3" s="9" t="s">
        <v>0</v>
      </c>
      <c r="L3" s="8"/>
      <c r="M3" s="7" t="s">
        <v>0</v>
      </c>
      <c r="N3" s="7" t="s">
        <v>0</v>
      </c>
    </row>
    <row r="4" spans="3:17" ht="25.15" customHeight="1" thickBot="1" x14ac:dyDescent="0.3">
      <c r="C4" s="10">
        <v>0</v>
      </c>
      <c r="D4" s="11" t="s">
        <v>1</v>
      </c>
      <c r="E4" s="12" t="s">
        <v>2</v>
      </c>
      <c r="F4" s="8"/>
      <c r="G4" s="8" t="s">
        <v>3</v>
      </c>
      <c r="H4" s="8"/>
      <c r="I4" s="8" t="s">
        <v>4</v>
      </c>
      <c r="J4" s="8"/>
      <c r="K4" s="8" t="s">
        <v>5</v>
      </c>
      <c r="L4" s="8"/>
      <c r="M4" s="12" t="s">
        <v>6</v>
      </c>
      <c r="N4" s="12" t="s">
        <v>7</v>
      </c>
    </row>
    <row r="5" spans="3:17" ht="18.75" customHeight="1" x14ac:dyDescent="0.25">
      <c r="C5" s="13">
        <v>2.4E-2</v>
      </c>
      <c r="D5" s="14" t="s">
        <v>8</v>
      </c>
      <c r="E5" s="92" t="s">
        <v>9</v>
      </c>
      <c r="F5" s="15"/>
      <c r="G5" s="92" t="s">
        <v>10</v>
      </c>
      <c r="H5" s="15"/>
      <c r="I5" s="92" t="s">
        <v>11</v>
      </c>
      <c r="J5" s="15"/>
      <c r="K5" s="92" t="s">
        <v>12</v>
      </c>
      <c r="L5" s="15"/>
      <c r="M5" s="92" t="s">
        <v>13</v>
      </c>
      <c r="N5" s="92" t="s">
        <v>14</v>
      </c>
    </row>
    <row r="6" spans="3:17" ht="10.9" customHeight="1" x14ac:dyDescent="0.25">
      <c r="C6" s="13">
        <v>6.0000000000000001E-3</v>
      </c>
      <c r="D6" s="14" t="s">
        <v>15</v>
      </c>
      <c r="E6" s="93"/>
      <c r="F6" s="16"/>
      <c r="G6" s="93"/>
      <c r="H6" s="16"/>
      <c r="I6" s="93"/>
      <c r="J6" s="16"/>
      <c r="K6" s="93"/>
      <c r="L6" s="16"/>
      <c r="M6" s="93"/>
      <c r="N6" s="93"/>
    </row>
    <row r="7" spans="3:17" ht="4.9000000000000004" customHeight="1" thickBot="1" x14ac:dyDescent="0.25">
      <c r="C7" s="4"/>
      <c r="D7" s="6"/>
      <c r="E7" s="94"/>
      <c r="F7" s="17"/>
      <c r="G7" s="94"/>
      <c r="H7" s="17"/>
      <c r="I7" s="94"/>
      <c r="J7" s="17"/>
      <c r="K7" s="94"/>
      <c r="L7" s="17"/>
      <c r="M7" s="94"/>
      <c r="N7" s="94"/>
    </row>
    <row r="8" spans="3:17" ht="19.149999999999999" customHeight="1" thickBot="1" x14ac:dyDescent="0.25">
      <c r="C8" s="4"/>
      <c r="D8" s="6"/>
      <c r="E8" s="18" t="s">
        <v>16</v>
      </c>
      <c r="F8" s="19"/>
      <c r="G8" s="19" t="s">
        <v>16</v>
      </c>
      <c r="H8" s="19"/>
      <c r="I8" s="19" t="s">
        <v>16</v>
      </c>
      <c r="J8" s="19"/>
      <c r="K8" s="19" t="s">
        <v>16</v>
      </c>
      <c r="L8" s="20"/>
      <c r="M8" s="21" t="s">
        <v>16</v>
      </c>
      <c r="N8" s="21" t="s">
        <v>16</v>
      </c>
    </row>
    <row r="9" spans="3:17" ht="22.9" customHeight="1" thickBot="1" x14ac:dyDescent="0.35">
      <c r="C9" s="22" t="s">
        <v>17</v>
      </c>
      <c r="D9" s="23">
        <v>1</v>
      </c>
      <c r="E9" s="24">
        <v>39864</v>
      </c>
      <c r="F9" s="25">
        <f>(G9-E9)/E9</f>
        <v>0.11037527593818984</v>
      </c>
      <c r="G9" s="24">
        <f>44000*(1+$C$6)+C4</f>
        <v>44264</v>
      </c>
      <c r="H9" s="25">
        <f>(I9-G9)/G9</f>
        <v>2.4000000000000066E-2</v>
      </c>
      <c r="I9" s="24">
        <f>G9*(1+$C$5)</f>
        <v>45326.336000000003</v>
      </c>
      <c r="J9" s="25">
        <f>(K9-I9)/I9</f>
        <v>2.4000000000000042E-2</v>
      </c>
      <c r="K9" s="24">
        <f>I9*(1+$C$5)</f>
        <v>46414.168064000005</v>
      </c>
      <c r="L9" s="25">
        <f>(M9-K9)/K9</f>
        <v>2.4000000000000087E-2</v>
      </c>
      <c r="M9" s="24">
        <f>K9*(1+$C$5)</f>
        <v>47528.108097536009</v>
      </c>
      <c r="N9" s="24">
        <v>47528</v>
      </c>
      <c r="O9" s="26">
        <v>56179</v>
      </c>
      <c r="P9" s="27">
        <f>SUM(M9-O9)</f>
        <v>-8650.8919024639908</v>
      </c>
      <c r="Q9" s="28">
        <f>ROUND((P9/O9),4)</f>
        <v>-0.154</v>
      </c>
    </row>
    <row r="10" spans="3:17" ht="19.5" hidden="1" thickBot="1" x14ac:dyDescent="0.35">
      <c r="C10" s="29"/>
      <c r="D10" s="30"/>
      <c r="E10" s="31">
        <f>(E11-E9)/E9</f>
        <v>0</v>
      </c>
      <c r="F10" s="32"/>
      <c r="G10" s="31">
        <f>(G11-G9)/G9</f>
        <v>2.4000000000000066E-2</v>
      </c>
      <c r="H10" s="32"/>
      <c r="I10" s="31">
        <f>(I11-I9)/I9</f>
        <v>2.4000000000000042E-2</v>
      </c>
      <c r="J10" s="32"/>
      <c r="K10" s="31">
        <f>(K11-K9)/K9</f>
        <v>2.4000000000000087E-2</v>
      </c>
      <c r="L10" s="32"/>
      <c r="M10" s="31">
        <f>(M11-M9)/M9</f>
        <v>2.4000000000000073E-2</v>
      </c>
      <c r="N10" s="31">
        <f>(N11-N9)/N9</f>
        <v>2.3999999999999973E-2</v>
      </c>
      <c r="P10" s="33"/>
    </row>
    <row r="11" spans="3:17" ht="22.9" customHeight="1" thickBot="1" x14ac:dyDescent="0.35">
      <c r="C11" s="22" t="s">
        <v>17</v>
      </c>
      <c r="D11" s="23">
        <v>2</v>
      </c>
      <c r="E11" s="24">
        <v>39864</v>
      </c>
      <c r="F11" s="25">
        <f>(G11-E11)/E11</f>
        <v>0.13702428256070648</v>
      </c>
      <c r="G11" s="24">
        <f>G9*(1+$C$5)</f>
        <v>45326.336000000003</v>
      </c>
      <c r="H11" s="25">
        <f>(I11-G11)/G11</f>
        <v>2.4000000000000042E-2</v>
      </c>
      <c r="I11" s="34">
        <f>I9*(1+$C$5)</f>
        <v>46414.168064000005</v>
      </c>
      <c r="J11" s="25">
        <f>(K11-I11)/I11</f>
        <v>2.4000000000000087E-2</v>
      </c>
      <c r="K11" s="34">
        <f>K9*(1+$C$5)</f>
        <v>47528.108097536009</v>
      </c>
      <c r="L11" s="25">
        <f>(M11-K11)/K11</f>
        <v>2.4000000000000073E-2</v>
      </c>
      <c r="M11" s="34">
        <f>M9*(1+$C$5)</f>
        <v>48668.782691876877</v>
      </c>
      <c r="N11" s="34">
        <f>N9*(1+$C$5)</f>
        <v>48668.671999999999</v>
      </c>
      <c r="O11">
        <v>57696</v>
      </c>
      <c r="P11" s="27">
        <f>SUM(M11-O11)</f>
        <v>-9027.2173081231231</v>
      </c>
      <c r="Q11" s="28">
        <f>ROUND((P11/O11),4)</f>
        <v>-0.1565</v>
      </c>
    </row>
    <row r="12" spans="3:17" ht="19.5" hidden="1" thickBot="1" x14ac:dyDescent="0.35">
      <c r="C12" s="29"/>
      <c r="D12" s="30"/>
      <c r="E12" s="31">
        <f>(E13-E11)/E11</f>
        <v>0</v>
      </c>
      <c r="F12" s="35"/>
      <c r="G12" s="31">
        <f>(G13-G11)/G11</f>
        <v>2.4000000000000042E-2</v>
      </c>
      <c r="H12" s="35"/>
      <c r="I12" s="31">
        <f>(I13-I11)/I11</f>
        <v>2.4000000000000087E-2</v>
      </c>
      <c r="J12" s="35"/>
      <c r="K12" s="31">
        <f>(K13-K11)/K11</f>
        <v>2.4000000000000073E-2</v>
      </c>
      <c r="L12" s="35"/>
      <c r="M12" s="31">
        <f>(M13-M11)/M11</f>
        <v>2.4000000000000018E-2</v>
      </c>
      <c r="N12" s="31">
        <f>(N13-N11)/N11</f>
        <v>2.4000000000000046E-2</v>
      </c>
      <c r="P12" s="27"/>
      <c r="Q12" s="28"/>
    </row>
    <row r="13" spans="3:17" ht="22.9" customHeight="1" thickBot="1" x14ac:dyDescent="0.35">
      <c r="C13" s="22" t="s">
        <v>17</v>
      </c>
      <c r="D13" s="23">
        <v>3</v>
      </c>
      <c r="E13" s="24">
        <v>39864</v>
      </c>
      <c r="F13" s="25">
        <f>(G13-E13)/E13</f>
        <v>0.16431286534216347</v>
      </c>
      <c r="G13" s="24">
        <f>G11*(1+$C$5)</f>
        <v>46414.168064000005</v>
      </c>
      <c r="H13" s="25">
        <f>(I13-G13)/G13</f>
        <v>2.4000000000000087E-2</v>
      </c>
      <c r="I13" s="34">
        <f>I11*(1+$C$5)</f>
        <v>47528.108097536009</v>
      </c>
      <c r="J13" s="25">
        <f>(K13-I13)/I13</f>
        <v>2.4000000000000073E-2</v>
      </c>
      <c r="K13" s="34">
        <f>K11*(1+$C$5)</f>
        <v>48668.782691876877</v>
      </c>
      <c r="L13" s="25">
        <f>(M13-K13)/K13</f>
        <v>2.4000000000000018E-2</v>
      </c>
      <c r="M13" s="34">
        <f>M11*(1+$C$5)</f>
        <v>49836.833476481923</v>
      </c>
      <c r="N13" s="34">
        <f>N11*(1+$C$5)</f>
        <v>49836.720128000001</v>
      </c>
      <c r="O13">
        <v>59254</v>
      </c>
      <c r="P13" s="27">
        <f>SUM(M13-O13)</f>
        <v>-9417.1665235180772</v>
      </c>
      <c r="Q13" s="28">
        <f>ROUND((P13/O13),4)</f>
        <v>-0.15890000000000001</v>
      </c>
    </row>
    <row r="14" spans="3:17" ht="19.5" hidden="1" thickBot="1" x14ac:dyDescent="0.35">
      <c r="C14" s="29"/>
      <c r="D14" s="30"/>
      <c r="E14" s="31"/>
      <c r="F14" s="35"/>
      <c r="G14" s="24">
        <f t="shared" ref="G14:G46" si="0">G12*(1+$C$5)</f>
        <v>2.4576000000000042E-2</v>
      </c>
      <c r="H14" s="35"/>
      <c r="I14" s="31">
        <f>(I15-I13)/I13</f>
        <v>2.4000000000000073E-2</v>
      </c>
      <c r="J14" s="35"/>
      <c r="K14" s="31">
        <f>(K15-K13)/K13</f>
        <v>2.4000000000000018E-2</v>
      </c>
      <c r="L14" s="35"/>
      <c r="M14" s="31">
        <f>(M15-M13)/M13</f>
        <v>2.3999999999999962E-2</v>
      </c>
      <c r="N14" s="31">
        <f>(N15-N13)/N13</f>
        <v>2.4000000000000049E-2</v>
      </c>
      <c r="P14" s="27"/>
      <c r="Q14" s="28"/>
    </row>
    <row r="15" spans="3:17" ht="22.9" customHeight="1" thickBot="1" x14ac:dyDescent="0.35">
      <c r="C15" s="22" t="s">
        <v>17</v>
      </c>
      <c r="D15" s="36">
        <v>4</v>
      </c>
      <c r="E15" s="37"/>
      <c r="F15" s="38"/>
      <c r="G15" s="24">
        <f t="shared" si="0"/>
        <v>47528.108097536009</v>
      </c>
      <c r="H15" s="39"/>
      <c r="I15" s="34">
        <f>I13*(1+$C$5)</f>
        <v>48668.782691876877</v>
      </c>
      <c r="J15" s="25">
        <f>(K15-I15)/I15</f>
        <v>2.4000000000000018E-2</v>
      </c>
      <c r="K15" s="34">
        <f>K13*(1+$C$5)</f>
        <v>49836.833476481923</v>
      </c>
      <c r="L15" s="25">
        <f>(M15-K15)/K15</f>
        <v>2.3999999999999962E-2</v>
      </c>
      <c r="M15" s="34">
        <f>M13*(1+$C$5)</f>
        <v>51032.917479917487</v>
      </c>
      <c r="N15" s="34">
        <f>N13*(1+$C$5)</f>
        <v>51032.801411072003</v>
      </c>
      <c r="O15">
        <v>60853</v>
      </c>
      <c r="P15" s="27">
        <f>SUM(M15-O15)</f>
        <v>-9820.0825200825129</v>
      </c>
      <c r="Q15" s="28">
        <f>ROUND((P15/O15),4)</f>
        <v>-0.16139999999999999</v>
      </c>
    </row>
    <row r="16" spans="3:17" ht="19.5" hidden="1" thickBot="1" x14ac:dyDescent="0.35">
      <c r="C16" s="29"/>
      <c r="D16" s="30"/>
      <c r="E16" s="40"/>
      <c r="F16" s="41"/>
      <c r="G16" s="24">
        <f t="shared" si="0"/>
        <v>2.5165824000000045E-2</v>
      </c>
      <c r="H16" s="41"/>
      <c r="I16" s="31">
        <f>(I17-I15)/I15</f>
        <v>2.4000000000000018E-2</v>
      </c>
      <c r="J16" s="35"/>
      <c r="K16" s="31">
        <f>(K17-K15)/K15</f>
        <v>2.3999999999999962E-2</v>
      </c>
      <c r="L16" s="35"/>
      <c r="M16" s="31">
        <f>(M17-M15)/M15</f>
        <v>2.399999999999999E-2</v>
      </c>
      <c r="N16" s="31">
        <f>(N17-N15)/N15</f>
        <v>2.4000000000000087E-2</v>
      </c>
      <c r="P16" s="27"/>
      <c r="Q16" s="28"/>
    </row>
    <row r="17" spans="3:17" ht="22.9" customHeight="1" thickBot="1" x14ac:dyDescent="0.35">
      <c r="C17" s="22" t="s">
        <v>17</v>
      </c>
      <c r="D17" s="36">
        <v>5</v>
      </c>
      <c r="E17" s="37"/>
      <c r="F17" s="38"/>
      <c r="G17" s="24">
        <f t="shared" si="0"/>
        <v>48668.782691876877</v>
      </c>
      <c r="H17" s="39"/>
      <c r="I17" s="34">
        <f>I15*(1+$C$5)</f>
        <v>49836.833476481923</v>
      </c>
      <c r="J17" s="25">
        <f>(K17-I17)/I17</f>
        <v>2.3999999999999962E-2</v>
      </c>
      <c r="K17" s="34">
        <f>K15*(1+$C$5)</f>
        <v>51032.917479917487</v>
      </c>
      <c r="L17" s="25">
        <f>(M17-K17)/K17</f>
        <v>2.399999999999999E-2</v>
      </c>
      <c r="M17" s="34">
        <f>M15*(1+$C$5)</f>
        <v>52257.707499435506</v>
      </c>
      <c r="N17" s="34">
        <f>N15*(1+$C$5)</f>
        <v>52257.588644937736</v>
      </c>
      <c r="O17">
        <v>62496</v>
      </c>
      <c r="P17" s="27">
        <f>SUM(M17-O17)</f>
        <v>-10238.292500564494</v>
      </c>
      <c r="Q17" s="28">
        <f>ROUND((P17/O17),4)</f>
        <v>-0.1638</v>
      </c>
    </row>
    <row r="18" spans="3:17" ht="19.5" hidden="1" thickBot="1" x14ac:dyDescent="0.35">
      <c r="C18" s="29"/>
      <c r="D18" s="30"/>
      <c r="E18" s="40"/>
      <c r="F18" s="41"/>
      <c r="G18" s="24">
        <f t="shared" si="0"/>
        <v>2.5769803776000046E-2</v>
      </c>
      <c r="H18" s="41"/>
      <c r="I18" s="31">
        <f>(I19-I17)/I17</f>
        <v>2.3999999999999962E-2</v>
      </c>
      <c r="J18" s="35"/>
      <c r="K18" s="31">
        <f>(K19-K17)/K17</f>
        <v>2.399999999999999E-2</v>
      </c>
      <c r="L18" s="35"/>
      <c r="M18" s="31">
        <f>(M19-M17)/M17</f>
        <v>2.3999999999999966E-2</v>
      </c>
      <c r="N18" s="31">
        <f>(N19-N17)/N17</f>
        <v>2.3999999999999955E-2</v>
      </c>
      <c r="P18" s="27"/>
      <c r="Q18" s="28"/>
    </row>
    <row r="19" spans="3:17" ht="19.5" thickBot="1" x14ac:dyDescent="0.35">
      <c r="C19" s="22" t="s">
        <v>17</v>
      </c>
      <c r="D19" s="36">
        <v>6</v>
      </c>
      <c r="E19" s="37"/>
      <c r="F19" s="38"/>
      <c r="G19" s="24">
        <f t="shared" si="0"/>
        <v>49836.833476481923</v>
      </c>
      <c r="H19" s="39"/>
      <c r="I19" s="34">
        <f>I17*(1+$C$5)</f>
        <v>51032.917479917487</v>
      </c>
      <c r="J19" s="25">
        <f>(K19-I19)/I19</f>
        <v>2.399999999999999E-2</v>
      </c>
      <c r="K19" s="34">
        <f>K17*(1+$C$5)</f>
        <v>52257.707499435506</v>
      </c>
      <c r="L19" s="25">
        <f>(M19-K19)/K19</f>
        <v>2.3999999999999966E-2</v>
      </c>
      <c r="M19" s="34">
        <f>M17*(1+$C$5)</f>
        <v>53511.892479421957</v>
      </c>
      <c r="N19" s="34">
        <f>N17*(1+$C$5)</f>
        <v>53511.770772416239</v>
      </c>
      <c r="O19">
        <v>64184</v>
      </c>
      <c r="P19" s="27">
        <f>SUM(M19-O19)</f>
        <v>-10672.107520578043</v>
      </c>
      <c r="Q19" s="28">
        <f>ROUND((P19/O19),4)</f>
        <v>-0.1663</v>
      </c>
    </row>
    <row r="20" spans="3:17" ht="19.5" hidden="1" thickBot="1" x14ac:dyDescent="0.35">
      <c r="C20" s="29"/>
      <c r="D20" s="30"/>
      <c r="E20" s="40"/>
      <c r="F20" s="41"/>
      <c r="G20" s="24">
        <f t="shared" si="0"/>
        <v>2.6388279066624047E-2</v>
      </c>
      <c r="H20" s="41"/>
      <c r="I20" s="31">
        <f>(I21-I19)/I19</f>
        <v>2.399999999999999E-2</v>
      </c>
      <c r="J20" s="35"/>
      <c r="K20" s="31">
        <f>(K21-K19)/K19</f>
        <v>2.3999999999999966E-2</v>
      </c>
      <c r="L20" s="35"/>
      <c r="M20" s="31">
        <f>(M21-M19)/M19</f>
        <v>2.4000000000000056E-2</v>
      </c>
      <c r="N20" s="31">
        <f>(N21-N19)/N19</f>
        <v>2.4000000000000042E-2</v>
      </c>
      <c r="P20" s="27"/>
      <c r="Q20" s="28"/>
    </row>
    <row r="21" spans="3:17" ht="22.9" customHeight="1" thickBot="1" x14ac:dyDescent="0.35">
      <c r="C21" s="22" t="s">
        <v>17</v>
      </c>
      <c r="D21" s="36">
        <v>7</v>
      </c>
      <c r="E21" s="37"/>
      <c r="F21" s="38"/>
      <c r="G21" s="24">
        <f t="shared" si="0"/>
        <v>51032.917479917487</v>
      </c>
      <c r="H21" s="39"/>
      <c r="I21" s="34">
        <f>I19*(1+$C$5)</f>
        <v>52257.707499435506</v>
      </c>
      <c r="J21" s="25">
        <f>(K21-I21)/I21</f>
        <v>2.3999999999999966E-2</v>
      </c>
      <c r="K21" s="34">
        <f>K19*(1+$C$5)</f>
        <v>53511.892479421957</v>
      </c>
      <c r="L21" s="25">
        <f>(M21-K21)/K21</f>
        <v>2.4000000000000056E-2</v>
      </c>
      <c r="M21" s="34">
        <f>M19*(1+$C$5)</f>
        <v>54796.177898928087</v>
      </c>
      <c r="N21" s="34">
        <f>N19*(1+$C$5)</f>
        <v>54796.053270954231</v>
      </c>
      <c r="O21">
        <v>65917</v>
      </c>
      <c r="P21" s="27">
        <f>SUM(M21-O21)</f>
        <v>-11120.822101071913</v>
      </c>
      <c r="Q21" s="28">
        <f>ROUND((P21/O21),4)</f>
        <v>-0.16869999999999999</v>
      </c>
    </row>
    <row r="22" spans="3:17" ht="19.5" hidden="1" thickBot="1" x14ac:dyDescent="0.35">
      <c r="C22" s="29"/>
      <c r="D22" s="30"/>
      <c r="E22" s="40"/>
      <c r="F22" s="41"/>
      <c r="G22" s="24">
        <f t="shared" si="0"/>
        <v>2.7021597764223027E-2</v>
      </c>
      <c r="H22" s="41"/>
      <c r="I22" s="31">
        <f>(I23-I21)/I21</f>
        <v>2.3999999999999966E-2</v>
      </c>
      <c r="J22" s="35"/>
      <c r="K22" s="31">
        <f>(K23-K21)/K21</f>
        <v>2.4000000000000056E-2</v>
      </c>
      <c r="L22" s="35"/>
      <c r="M22" s="31">
        <f>(M23-M21)/M21</f>
        <v>2.3999999999999987E-2</v>
      </c>
      <c r="N22" s="31">
        <f>(N23-N21)/N21</f>
        <v>2.4000000000000014E-2</v>
      </c>
      <c r="P22" s="33"/>
    </row>
    <row r="23" spans="3:17" ht="22.9" customHeight="1" thickBot="1" x14ac:dyDescent="0.35">
      <c r="C23" s="22" t="s">
        <v>17</v>
      </c>
      <c r="D23" s="36">
        <v>8</v>
      </c>
      <c r="E23" s="37"/>
      <c r="F23" s="38"/>
      <c r="G23" s="24">
        <f t="shared" si="0"/>
        <v>52257.707499435506</v>
      </c>
      <c r="H23" s="39"/>
      <c r="I23" s="34">
        <f>I21*(1+$C$5)</f>
        <v>53511.892479421957</v>
      </c>
      <c r="J23" s="25">
        <f>(K23-I23)/I23</f>
        <v>2.4000000000000056E-2</v>
      </c>
      <c r="K23" s="34">
        <f>K21*(1+$C$5)</f>
        <v>54796.177898928087</v>
      </c>
      <c r="L23" s="25">
        <f>(M23-K23)/K23</f>
        <v>2.3999999999999987E-2</v>
      </c>
      <c r="M23" s="34">
        <f>M21*(1+$C$5)</f>
        <v>56111.28616850236</v>
      </c>
      <c r="N23" s="34">
        <f>N21*(1+$C$5)</f>
        <v>56111.158549457134</v>
      </c>
      <c r="O23">
        <v>67697</v>
      </c>
      <c r="P23" s="27">
        <f>SUM(M23-O23)</f>
        <v>-11585.71383149764</v>
      </c>
      <c r="Q23" s="28">
        <f>ROUND((P23/O23),4)</f>
        <v>-0.1711</v>
      </c>
    </row>
    <row r="24" spans="3:17" ht="14.65" hidden="1" customHeight="1" x14ac:dyDescent="0.3">
      <c r="C24" s="29"/>
      <c r="D24" s="30"/>
      <c r="E24" s="40"/>
      <c r="F24" s="41"/>
      <c r="G24" s="24">
        <f t="shared" si="0"/>
        <v>2.7670116110564379E-2</v>
      </c>
      <c r="H24" s="41"/>
      <c r="I24" s="31">
        <f>(I25-I23)/I23</f>
        <v>2.4000000000000056E-2</v>
      </c>
      <c r="J24" s="35"/>
      <c r="K24" s="31">
        <f>(K25-K23)/K23</f>
        <v>2.3999999999999987E-2</v>
      </c>
      <c r="L24" s="35"/>
      <c r="M24" s="31">
        <f>(M25-M23)/M23</f>
        <v>2.4000000000000007E-2</v>
      </c>
      <c r="N24" s="31">
        <f>(N25-N23)/N23</f>
        <v>2.4000000000000066E-2</v>
      </c>
      <c r="P24" s="33"/>
    </row>
    <row r="25" spans="3:17" ht="22.9" customHeight="1" thickBot="1" x14ac:dyDescent="0.35">
      <c r="C25" s="22" t="s">
        <v>17</v>
      </c>
      <c r="D25" s="36">
        <v>9</v>
      </c>
      <c r="E25" s="37"/>
      <c r="F25" s="38"/>
      <c r="G25" s="24">
        <f t="shared" si="0"/>
        <v>53511.892479421957</v>
      </c>
      <c r="H25" s="39"/>
      <c r="I25" s="34">
        <f>I23*(1+$C$5)</f>
        <v>54796.177898928087</v>
      </c>
      <c r="J25" s="25">
        <f>(K25-I25)/I25</f>
        <v>2.3999999999999987E-2</v>
      </c>
      <c r="K25" s="34">
        <f>K23*(1+$C$5)</f>
        <v>56111.28616850236</v>
      </c>
      <c r="L25" s="25">
        <f>(M25-K25)/K25</f>
        <v>2.4000000000000007E-2</v>
      </c>
      <c r="M25" s="34">
        <f>M23*(1+$C$5)</f>
        <v>57457.957036546417</v>
      </c>
      <c r="N25" s="34">
        <f>N23*(1+$C$5)</f>
        <v>57457.826354644109</v>
      </c>
      <c r="O25">
        <v>69524</v>
      </c>
      <c r="P25" s="27">
        <f>SUM(M25-O25)</f>
        <v>-12066.042963453583</v>
      </c>
      <c r="Q25" s="28">
        <f>ROUND((P25/O25),4)</f>
        <v>-0.1736</v>
      </c>
    </row>
    <row r="26" spans="3:17" ht="19.5" hidden="1" thickBot="1" x14ac:dyDescent="0.35">
      <c r="C26" s="29"/>
      <c r="D26" s="30"/>
      <c r="E26" s="40"/>
      <c r="F26" s="41"/>
      <c r="G26" s="24">
        <f t="shared" si="0"/>
        <v>2.8334198897217923E-2</v>
      </c>
      <c r="H26" s="41"/>
      <c r="I26" s="34">
        <f t="shared" ref="I26:I67" si="1">I24*(1+$C$5)</f>
        <v>2.4576000000000056E-2</v>
      </c>
      <c r="J26" s="35"/>
      <c r="K26" s="31">
        <f>(K27-K25)/K25</f>
        <v>2.4000000000000007E-2</v>
      </c>
      <c r="L26" s="35"/>
      <c r="M26" s="31">
        <f>(M27-M25)/M25</f>
        <v>2.4000000000000018E-2</v>
      </c>
      <c r="N26" s="31">
        <f>(N27-N25)/N25</f>
        <v>2.4000000000000066E-2</v>
      </c>
      <c r="P26" s="33"/>
    </row>
    <row r="27" spans="3:17" ht="22.9" customHeight="1" thickBot="1" x14ac:dyDescent="0.35">
      <c r="C27" s="22" t="s">
        <v>17</v>
      </c>
      <c r="D27" s="36">
        <v>10</v>
      </c>
      <c r="E27" s="37"/>
      <c r="F27" s="38"/>
      <c r="G27" s="24">
        <f t="shared" si="0"/>
        <v>54796.177898928087</v>
      </c>
      <c r="H27" s="38"/>
      <c r="I27" s="34">
        <f t="shared" si="1"/>
        <v>56111.28616850236</v>
      </c>
      <c r="J27" s="39"/>
      <c r="K27" s="34">
        <f>K25*(1+$C$5)</f>
        <v>57457.957036546417</v>
      </c>
      <c r="L27" s="25">
        <f>(M27-K27)/K27</f>
        <v>2.4000000000000018E-2</v>
      </c>
      <c r="M27" s="34">
        <f>M25*(1+$C$5)</f>
        <v>58836.948005423532</v>
      </c>
      <c r="N27" s="34">
        <f>N25*(1+$C$5)</f>
        <v>58836.814187155571</v>
      </c>
      <c r="O27">
        <v>71401</v>
      </c>
      <c r="P27" s="27">
        <f>SUM(M27-O27)</f>
        <v>-12564.051994576468</v>
      </c>
      <c r="Q27" s="28">
        <f>ROUND((P27/O27),4)</f>
        <v>-0.17599999999999999</v>
      </c>
    </row>
    <row r="28" spans="3:17" ht="19.5" hidden="1" thickBot="1" x14ac:dyDescent="0.35">
      <c r="C28" s="29"/>
      <c r="D28" s="30"/>
      <c r="E28" s="40"/>
      <c r="F28" s="41"/>
      <c r="G28" s="24">
        <f t="shared" si="0"/>
        <v>2.9014219670751153E-2</v>
      </c>
      <c r="H28" s="41"/>
      <c r="I28" s="34">
        <f t="shared" si="1"/>
        <v>2.5165824000000059E-2</v>
      </c>
      <c r="J28" s="41"/>
      <c r="K28" s="31">
        <f>(K29-K27)/K27</f>
        <v>2.4000000000000018E-2</v>
      </c>
      <c r="L28" s="35"/>
      <c r="M28" s="31">
        <f>(M29-M27)/M27</f>
        <v>2.3999999999999962E-2</v>
      </c>
      <c r="N28" s="31">
        <f>(N29-N27)/N27</f>
        <v>2.4000000000000073E-2</v>
      </c>
      <c r="P28" s="33"/>
    </row>
    <row r="29" spans="3:17" ht="22.9" customHeight="1" thickBot="1" x14ac:dyDescent="0.35">
      <c r="C29" s="22" t="s">
        <v>17</v>
      </c>
      <c r="D29" s="36">
        <v>11</v>
      </c>
      <c r="E29" s="37"/>
      <c r="F29" s="38"/>
      <c r="G29" s="24">
        <f t="shared" si="0"/>
        <v>56111.28616850236</v>
      </c>
      <c r="H29" s="38"/>
      <c r="I29" s="34">
        <f t="shared" si="1"/>
        <v>57457.957036546417</v>
      </c>
      <c r="J29" s="39"/>
      <c r="K29" s="34">
        <f>K27*(1+$C$5)</f>
        <v>58836.948005423532</v>
      </c>
      <c r="L29" s="25">
        <f>(M29-K29)/K29</f>
        <v>2.3999999999999962E-2</v>
      </c>
      <c r="M29" s="34">
        <f>M27*(1+$C$5)</f>
        <v>60249.034757553694</v>
      </c>
      <c r="N29" s="34">
        <f>N27*(1+$C$5)</f>
        <v>60248.897727647309</v>
      </c>
      <c r="O29">
        <v>73329</v>
      </c>
      <c r="P29" s="27">
        <f>SUM(M29-O29)</f>
        <v>-13079.965242446306</v>
      </c>
      <c r="Q29" s="28">
        <f>ROUND((P29/O29),4)</f>
        <v>-0.1784</v>
      </c>
    </row>
    <row r="30" spans="3:17" ht="19.5" hidden="1" thickBot="1" x14ac:dyDescent="0.35">
      <c r="C30" s="29"/>
      <c r="D30" s="30"/>
      <c r="E30" s="40"/>
      <c r="F30" s="41"/>
      <c r="G30" s="24">
        <f t="shared" si="0"/>
        <v>2.9710560942849181E-2</v>
      </c>
      <c r="H30" s="41"/>
      <c r="I30" s="34">
        <f t="shared" si="1"/>
        <v>2.576980377600006E-2</v>
      </c>
      <c r="J30" s="41"/>
      <c r="K30" s="34">
        <f t="shared" ref="K30:K67" si="2">K28*(1+$C$5)</f>
        <v>2.4576000000000018E-2</v>
      </c>
      <c r="L30" s="35"/>
      <c r="M30" s="31">
        <f>(M31-M29)/M29</f>
        <v>2.4E-2</v>
      </c>
      <c r="N30" s="31">
        <f>(N31-N29)/N29</f>
        <v>2.4000000000000035E-2</v>
      </c>
      <c r="P30" s="33"/>
    </row>
    <row r="31" spans="3:17" ht="22.9" customHeight="1" thickBot="1" x14ac:dyDescent="0.35">
      <c r="C31" s="22" t="s">
        <v>17</v>
      </c>
      <c r="D31" s="36">
        <v>12</v>
      </c>
      <c r="E31" s="37"/>
      <c r="F31" s="38"/>
      <c r="G31" s="24">
        <f t="shared" si="0"/>
        <v>57457.957036546417</v>
      </c>
      <c r="H31" s="38"/>
      <c r="I31" s="34">
        <f t="shared" si="1"/>
        <v>58836.948005423532</v>
      </c>
      <c r="J31" s="38"/>
      <c r="K31" s="34">
        <f t="shared" si="2"/>
        <v>60249.034757553694</v>
      </c>
      <c r="L31" s="39"/>
      <c r="M31" s="34">
        <f>M29*(1+$C$5)</f>
        <v>61695.011591734983</v>
      </c>
      <c r="N31" s="34">
        <f>N29*(1+$C$5)</f>
        <v>61694.871273110846</v>
      </c>
      <c r="O31">
        <v>75309</v>
      </c>
      <c r="P31" s="27">
        <f>SUM(M31-O31)</f>
        <v>-13613.988408265017</v>
      </c>
      <c r="Q31" s="28">
        <f>ROUND((P31/O31),4)</f>
        <v>-0.18079999999999999</v>
      </c>
    </row>
    <row r="32" spans="3:17" ht="19.5" hidden="1" thickBot="1" x14ac:dyDescent="0.35">
      <c r="C32" s="29"/>
      <c r="D32" s="30"/>
      <c r="E32" s="40"/>
      <c r="F32" s="41"/>
      <c r="G32" s="24">
        <f t="shared" si="0"/>
        <v>3.0423614405477563E-2</v>
      </c>
      <c r="H32" s="41"/>
      <c r="I32" s="34">
        <f t="shared" si="1"/>
        <v>2.6388279066624061E-2</v>
      </c>
      <c r="J32" s="41"/>
      <c r="K32" s="34">
        <f t="shared" si="2"/>
        <v>2.5165824000000021E-2</v>
      </c>
      <c r="L32" s="41"/>
      <c r="M32" s="31">
        <f>(M33-M31)/M31</f>
        <v>2.399999999999998E-2</v>
      </c>
      <c r="N32" s="31">
        <f>(N33-N31)/N31</f>
        <v>2.4000000000000039E-2</v>
      </c>
      <c r="P32" s="33"/>
    </row>
    <row r="33" spans="2:17" ht="22.9" customHeight="1" thickBot="1" x14ac:dyDescent="0.35">
      <c r="C33" s="22" t="s">
        <v>17</v>
      </c>
      <c r="D33" s="36">
        <v>13</v>
      </c>
      <c r="E33" s="37"/>
      <c r="F33" s="38"/>
      <c r="G33" s="24">
        <f t="shared" si="0"/>
        <v>58836.948005423532</v>
      </c>
      <c r="H33" s="38"/>
      <c r="I33" s="34">
        <f t="shared" si="1"/>
        <v>60249.034757553694</v>
      </c>
      <c r="J33" s="38"/>
      <c r="K33" s="34">
        <f t="shared" si="2"/>
        <v>61695.011591734983</v>
      </c>
      <c r="L33" s="39"/>
      <c r="M33" s="34">
        <f>M31*(1+$C$5)</f>
        <v>63175.691869936622</v>
      </c>
      <c r="N33" s="34">
        <f>N31*(1+$C$5)</f>
        <v>63175.548183665509</v>
      </c>
      <c r="O33">
        <v>77343</v>
      </c>
      <c r="P33" s="27">
        <f>SUM(M33-O33)</f>
        <v>-14167.308130063378</v>
      </c>
      <c r="Q33" s="28">
        <f>ROUND((P33/O33),4)</f>
        <v>-0.1832</v>
      </c>
    </row>
    <row r="34" spans="2:17" ht="19.5" hidden="1" thickBot="1" x14ac:dyDescent="0.35">
      <c r="C34" s="29"/>
      <c r="D34" s="30"/>
      <c r="E34" s="42"/>
      <c r="F34" s="43"/>
      <c r="G34" s="24">
        <f t="shared" si="0"/>
        <v>3.1153781151209026E-2</v>
      </c>
      <c r="H34" s="41"/>
      <c r="I34" s="34">
        <f t="shared" si="1"/>
        <v>2.702159776422304E-2</v>
      </c>
      <c r="J34" s="41"/>
      <c r="K34" s="34">
        <f t="shared" si="2"/>
        <v>2.5769803776000022E-2</v>
      </c>
      <c r="L34" s="41"/>
      <c r="M34" s="31">
        <f>(M35-M33)/M33</f>
        <v>2.399999999999999E-2</v>
      </c>
      <c r="N34" s="31">
        <f>(N35-N33)/N33</f>
        <v>2.4000000000000053E-2</v>
      </c>
      <c r="P34" s="33"/>
    </row>
    <row r="35" spans="2:17" ht="22.9" customHeight="1" thickBot="1" x14ac:dyDescent="0.35">
      <c r="C35" s="22" t="s">
        <v>17</v>
      </c>
      <c r="D35" s="36">
        <v>14</v>
      </c>
      <c r="E35" s="37"/>
      <c r="F35" s="38"/>
      <c r="G35" s="24">
        <f t="shared" si="0"/>
        <v>60249.034757553694</v>
      </c>
      <c r="H35" s="38"/>
      <c r="I35" s="34">
        <f t="shared" si="1"/>
        <v>61695.011591734983</v>
      </c>
      <c r="J35" s="38"/>
      <c r="K35" s="34">
        <f t="shared" si="2"/>
        <v>63175.691869936622</v>
      </c>
      <c r="L35" s="39"/>
      <c r="M35" s="34">
        <f>M33*(1+$C$5)</f>
        <v>64691.9084748151</v>
      </c>
      <c r="N35" s="34">
        <f>N33*(1+$C$5)</f>
        <v>64691.761340073484</v>
      </c>
      <c r="O35">
        <v>79431</v>
      </c>
      <c r="P35" s="27">
        <f>SUM(M35-O35)</f>
        <v>-14739.0915251849</v>
      </c>
      <c r="Q35" s="28">
        <f>ROUND((P35/O35),4)</f>
        <v>-0.18559999999999999</v>
      </c>
    </row>
    <row r="36" spans="2:17" ht="19.5" hidden="1" thickBot="1" x14ac:dyDescent="0.35">
      <c r="C36" s="29"/>
      <c r="D36" s="30"/>
      <c r="E36" s="42"/>
      <c r="F36" s="43"/>
      <c r="G36" s="24">
        <f t="shared" si="0"/>
        <v>3.1901471898838046E-2</v>
      </c>
      <c r="H36" s="41"/>
      <c r="I36" s="34">
        <f t="shared" si="1"/>
        <v>2.7670116110564393E-2</v>
      </c>
      <c r="J36" s="41"/>
      <c r="K36" s="34">
        <f t="shared" si="2"/>
        <v>2.6388279066624023E-2</v>
      </c>
      <c r="L36" s="41"/>
      <c r="M36" s="31">
        <f>(M37-M35)/M35</f>
        <v>2.4000000000000125E-2</v>
      </c>
      <c r="N36" s="31">
        <f>(N37-N35)/N35</f>
        <v>2.3999999999999987E-2</v>
      </c>
      <c r="P36" s="33"/>
    </row>
    <row r="37" spans="2:17" ht="22.9" customHeight="1" thickBot="1" x14ac:dyDescent="0.35">
      <c r="C37" s="22" t="s">
        <v>17</v>
      </c>
      <c r="D37" s="36">
        <v>15</v>
      </c>
      <c r="E37" s="37"/>
      <c r="F37" s="38"/>
      <c r="G37" s="24">
        <f t="shared" si="0"/>
        <v>61695.011591734983</v>
      </c>
      <c r="H37" s="38"/>
      <c r="I37" s="34">
        <f t="shared" si="1"/>
        <v>63175.691869936622</v>
      </c>
      <c r="J37" s="38"/>
      <c r="K37" s="34">
        <f t="shared" si="2"/>
        <v>64691.9084748151</v>
      </c>
      <c r="L37" s="39"/>
      <c r="M37" s="34">
        <f>M35*(1+$C$5)</f>
        <v>66244.51427821067</v>
      </c>
      <c r="N37" s="34">
        <f>N35*(1+$C$5)</f>
        <v>66244.363612235247</v>
      </c>
      <c r="O37">
        <v>81575</v>
      </c>
      <c r="P37" s="27">
        <f>SUM(M37-O37)</f>
        <v>-15330.48572178933</v>
      </c>
      <c r="Q37" s="28">
        <f>ROUND((P37/O37),4)</f>
        <v>-0.18790000000000001</v>
      </c>
    </row>
    <row r="38" spans="2:17" ht="19.5" hidden="1" thickBot="1" x14ac:dyDescent="0.35">
      <c r="C38" s="29"/>
      <c r="D38" s="30"/>
      <c r="E38" s="42"/>
      <c r="F38" s="43"/>
      <c r="G38" s="24">
        <f t="shared" si="0"/>
        <v>3.2667107224410158E-2</v>
      </c>
      <c r="H38" s="41"/>
      <c r="I38" s="34">
        <f t="shared" si="1"/>
        <v>2.833419889721794E-2</v>
      </c>
      <c r="J38" s="41"/>
      <c r="K38" s="34">
        <f t="shared" si="2"/>
        <v>2.7021597764222999E-2</v>
      </c>
      <c r="L38" s="41"/>
      <c r="M38" s="31">
        <f>(M39-M37)/M37</f>
        <v>2.4000000000000035E-2</v>
      </c>
      <c r="N38" s="31">
        <f>(N39-N37)/N37</f>
        <v>2.4E-2</v>
      </c>
      <c r="P38" s="33"/>
    </row>
    <row r="39" spans="2:17" ht="22.9" customHeight="1" thickBot="1" x14ac:dyDescent="0.35">
      <c r="C39" s="22" t="s">
        <v>17</v>
      </c>
      <c r="D39" s="36">
        <v>16</v>
      </c>
      <c r="E39" s="37"/>
      <c r="F39" s="38"/>
      <c r="G39" s="24">
        <f t="shared" si="0"/>
        <v>63175.691869936622</v>
      </c>
      <c r="H39" s="38"/>
      <c r="I39" s="34">
        <f t="shared" si="1"/>
        <v>64691.9084748151</v>
      </c>
      <c r="J39" s="38"/>
      <c r="K39" s="34">
        <f t="shared" si="2"/>
        <v>66244.51427821067</v>
      </c>
      <c r="L39" s="39"/>
      <c r="M39" s="34">
        <f>M37*(1+$C$5)</f>
        <v>67834.382620887729</v>
      </c>
      <c r="N39" s="34">
        <f>N37*(1+$C$5)</f>
        <v>67834.228338928893</v>
      </c>
      <c r="O39">
        <v>83778</v>
      </c>
      <c r="P39" s="27">
        <f>SUM(M39-O39)</f>
        <v>-15943.617379112271</v>
      </c>
      <c r="Q39" s="28">
        <f>ROUND((P39/O39),4)</f>
        <v>-0.1903</v>
      </c>
    </row>
    <row r="40" spans="2:17" ht="19.5" hidden="1" thickBot="1" x14ac:dyDescent="0.35">
      <c r="C40" s="29"/>
      <c r="D40" s="30"/>
      <c r="E40" s="42"/>
      <c r="F40" s="43"/>
      <c r="G40" s="24">
        <f t="shared" si="0"/>
        <v>3.3451117797796005E-2</v>
      </c>
      <c r="H40" s="41"/>
      <c r="I40" s="34">
        <f t="shared" si="1"/>
        <v>2.9014219670751171E-2</v>
      </c>
      <c r="J40" s="41"/>
      <c r="K40" s="34">
        <f t="shared" si="2"/>
        <v>2.7670116110564351E-2</v>
      </c>
      <c r="L40" s="41"/>
      <c r="M40" s="31">
        <f>(M41-M39)/M39</f>
        <v>2.4000000000000125E-2</v>
      </c>
      <c r="N40" s="31">
        <f>(N41-N39)/N39</f>
        <v>2.4000000000000028E-2</v>
      </c>
      <c r="P40" s="33"/>
    </row>
    <row r="41" spans="2:17" ht="22.9" customHeight="1" thickBot="1" x14ac:dyDescent="0.35">
      <c r="C41" s="22" t="s">
        <v>17</v>
      </c>
      <c r="D41" s="36">
        <v>17</v>
      </c>
      <c r="E41" s="37"/>
      <c r="F41" s="38"/>
      <c r="G41" s="24">
        <f t="shared" si="0"/>
        <v>64691.9084748151</v>
      </c>
      <c r="H41" s="38"/>
      <c r="I41" s="34">
        <f t="shared" si="1"/>
        <v>66244.51427821067</v>
      </c>
      <c r="J41" s="38"/>
      <c r="K41" s="34">
        <f t="shared" si="2"/>
        <v>67834.382620887729</v>
      </c>
      <c r="L41" s="39"/>
      <c r="M41" s="34">
        <f>M39*(1+$C$5)</f>
        <v>69462.407803789043</v>
      </c>
      <c r="N41" s="34">
        <f>N39*(1+$C$5)</f>
        <v>69462.249819063189</v>
      </c>
      <c r="O41">
        <v>86040</v>
      </c>
      <c r="P41" s="27">
        <f>SUM(M41-O41)</f>
        <v>-16577.592196210957</v>
      </c>
      <c r="Q41" s="28">
        <f>ROUND((P41/O41),4)</f>
        <v>-0.19270000000000001</v>
      </c>
    </row>
    <row r="42" spans="2:17" ht="19.5" hidden="1" thickBot="1" x14ac:dyDescent="0.35">
      <c r="C42" s="29"/>
      <c r="D42" s="30"/>
      <c r="E42" s="42"/>
      <c r="F42" s="43"/>
      <c r="G42" s="24">
        <f t="shared" si="0"/>
        <v>3.4253944624943113E-2</v>
      </c>
      <c r="H42" s="41"/>
      <c r="I42" s="34">
        <f t="shared" si="1"/>
        <v>2.9710560942849198E-2</v>
      </c>
      <c r="J42" s="41"/>
      <c r="K42" s="34">
        <f t="shared" si="2"/>
        <v>2.8334198897217895E-2</v>
      </c>
      <c r="L42" s="41"/>
      <c r="M42" s="31">
        <f>(M43-M41)/M41</f>
        <v>2.400000000000008E-2</v>
      </c>
      <c r="N42" s="31">
        <f>(N43-N41)/N41</f>
        <v>2.4E-2</v>
      </c>
      <c r="P42" s="33"/>
    </row>
    <row r="43" spans="2:17" ht="22.9" customHeight="1" thickBot="1" x14ac:dyDescent="0.35">
      <c r="B43" s="44"/>
      <c r="C43" s="22" t="s">
        <v>17</v>
      </c>
      <c r="D43" s="36">
        <v>18</v>
      </c>
      <c r="E43" s="37"/>
      <c r="F43" s="38"/>
      <c r="G43" s="24">
        <f t="shared" si="0"/>
        <v>66244.51427821067</v>
      </c>
      <c r="H43" s="38"/>
      <c r="I43" s="34">
        <f t="shared" si="1"/>
        <v>67834.382620887729</v>
      </c>
      <c r="J43" s="38"/>
      <c r="K43" s="34">
        <f t="shared" si="2"/>
        <v>69462.407803789043</v>
      </c>
      <c r="L43" s="39"/>
      <c r="M43" s="34">
        <f>M41*(1+$C$5)</f>
        <v>71129.505591079986</v>
      </c>
      <c r="N43" s="34">
        <f>N41*(1+$C$5)</f>
        <v>71129.343814720705</v>
      </c>
      <c r="O43">
        <v>88363</v>
      </c>
      <c r="P43" s="27">
        <f>SUM(M43-O43)</f>
        <v>-17233.494408920014</v>
      </c>
      <c r="Q43" s="28">
        <f>ROUND((P43/O43),4)</f>
        <v>-0.19500000000000001</v>
      </c>
    </row>
    <row r="44" spans="2:17" ht="19.5" hidden="1" thickBot="1" x14ac:dyDescent="0.35">
      <c r="B44" s="44"/>
      <c r="C44" s="29"/>
      <c r="D44" s="30"/>
      <c r="E44" s="42"/>
      <c r="F44" s="43"/>
      <c r="G44" s="24">
        <f t="shared" si="0"/>
        <v>3.5076039295941747E-2</v>
      </c>
      <c r="H44" s="41"/>
      <c r="I44" s="34">
        <f t="shared" si="1"/>
        <v>3.042361440547758E-2</v>
      </c>
      <c r="J44" s="41"/>
      <c r="K44" s="34">
        <f t="shared" si="2"/>
        <v>2.9014219670751126E-2</v>
      </c>
      <c r="L44" s="41"/>
      <c r="M44" s="31">
        <f>(M45-M43)/M43</f>
        <v>2.4000000000000066E-2</v>
      </c>
      <c r="N44" s="31">
        <f>(N45-N43)/N43</f>
        <v>2.4000000000000108E-2</v>
      </c>
      <c r="P44" s="33"/>
    </row>
    <row r="45" spans="2:17" ht="22.9" customHeight="1" thickBot="1" x14ac:dyDescent="0.35">
      <c r="B45" s="44"/>
      <c r="C45" s="22" t="s">
        <v>17</v>
      </c>
      <c r="D45" s="36">
        <v>19</v>
      </c>
      <c r="E45" s="37"/>
      <c r="F45" s="38"/>
      <c r="G45" s="24">
        <f t="shared" si="0"/>
        <v>67834.382620887729</v>
      </c>
      <c r="H45" s="38"/>
      <c r="I45" s="34">
        <f t="shared" si="1"/>
        <v>69462.407803789043</v>
      </c>
      <c r="J45" s="38"/>
      <c r="K45" s="34">
        <f t="shared" si="2"/>
        <v>71129.505591079986</v>
      </c>
      <c r="L45" s="39"/>
      <c r="M45" s="34">
        <f>M43*(1+$C$5)</f>
        <v>72836.61372526591</v>
      </c>
      <c r="N45" s="34">
        <f>N43*(1+$C$5)</f>
        <v>72836.44806627401</v>
      </c>
      <c r="O45">
        <v>90749</v>
      </c>
      <c r="P45" s="27">
        <f>SUM(M45-O45)</f>
        <v>-17912.38627473409</v>
      </c>
      <c r="Q45" s="28">
        <f>ROUND((P45/O45),4)</f>
        <v>-0.19739999999999999</v>
      </c>
    </row>
    <row r="46" spans="2:17" ht="19.5" hidden="1" thickBot="1" x14ac:dyDescent="0.35">
      <c r="B46" s="44"/>
      <c r="C46" s="29"/>
      <c r="D46" s="30"/>
      <c r="E46" s="45"/>
      <c r="F46" s="46"/>
      <c r="G46" s="24">
        <f t="shared" si="0"/>
        <v>3.5917864239044348E-2</v>
      </c>
      <c r="H46" s="41"/>
      <c r="I46" s="34">
        <f t="shared" si="1"/>
        <v>3.1153781151209044E-2</v>
      </c>
      <c r="J46" s="41"/>
      <c r="K46" s="34">
        <f t="shared" si="2"/>
        <v>2.9710560942849153E-2</v>
      </c>
      <c r="L46" s="41"/>
      <c r="M46" s="31">
        <f>(M47-M45)/M45</f>
        <v>2.3999999999999942E-2</v>
      </c>
      <c r="N46" s="31">
        <f>(N47-N45)/N45</f>
        <v>2.4000000000000094E-2</v>
      </c>
      <c r="P46" s="33"/>
    </row>
    <row r="47" spans="2:17" ht="22.9" customHeight="1" thickBot="1" x14ac:dyDescent="0.35">
      <c r="B47" s="44"/>
      <c r="C47" s="22" t="s">
        <v>17</v>
      </c>
      <c r="D47" s="36">
        <v>20</v>
      </c>
      <c r="E47" s="37"/>
      <c r="F47" s="38"/>
      <c r="G47" s="24">
        <f>G45*(1+$C$5)</f>
        <v>69462.407803789043</v>
      </c>
      <c r="H47" s="38"/>
      <c r="I47" s="34">
        <f t="shared" si="1"/>
        <v>71129.505591079986</v>
      </c>
      <c r="J47" s="38"/>
      <c r="K47" s="34">
        <f t="shared" si="2"/>
        <v>72836.61372526591</v>
      </c>
      <c r="L47" s="39"/>
      <c r="M47" s="34">
        <f>M45*(1+$C$5)</f>
        <v>74584.692454672288</v>
      </c>
      <c r="N47" s="34">
        <f>N45*(1+$C$5)</f>
        <v>74584.522819864593</v>
      </c>
      <c r="O47">
        <v>93199</v>
      </c>
      <c r="P47" s="27">
        <f>SUM(M47-O47)</f>
        <v>-18614.307545327712</v>
      </c>
      <c r="Q47" s="28">
        <f>ROUND((P47/O47),4)</f>
        <v>-0.19969999999999999</v>
      </c>
    </row>
    <row r="48" spans="2:17" ht="18.75" hidden="1" thickBot="1" x14ac:dyDescent="0.25">
      <c r="B48" s="44"/>
      <c r="C48" s="29"/>
      <c r="D48" s="30"/>
      <c r="E48" s="40"/>
      <c r="F48" s="41"/>
      <c r="G48" s="24">
        <f t="shared" ref="G48:G67" si="3">G46*(1+$C$5)</f>
        <v>3.6779892980781416E-2</v>
      </c>
      <c r="H48" s="41"/>
      <c r="I48" s="34">
        <f t="shared" si="1"/>
        <v>3.190147189883806E-2</v>
      </c>
      <c r="J48" s="41"/>
      <c r="K48" s="34">
        <f t="shared" si="2"/>
        <v>3.0423614405477535E-2</v>
      </c>
      <c r="L48" s="41"/>
      <c r="M48" s="31">
        <f>(M49-M47)/M47</f>
        <v>2.4000000000000077E-2</v>
      </c>
      <c r="N48" s="31">
        <f>(N49-N47)/N47</f>
        <v>2.3999999999999942E-2</v>
      </c>
    </row>
    <row r="49" spans="2:14" ht="18.75" thickBot="1" x14ac:dyDescent="0.25">
      <c r="B49" s="44"/>
      <c r="C49" s="22" t="s">
        <v>17</v>
      </c>
      <c r="D49" s="36">
        <v>21</v>
      </c>
      <c r="E49" s="37"/>
      <c r="F49" s="38"/>
      <c r="G49" s="24">
        <f t="shared" si="3"/>
        <v>71129.505591079986</v>
      </c>
      <c r="H49" s="38"/>
      <c r="I49" s="34">
        <f t="shared" si="1"/>
        <v>72836.61372526591</v>
      </c>
      <c r="J49" s="38"/>
      <c r="K49" s="34">
        <f t="shared" si="2"/>
        <v>74584.692454672288</v>
      </c>
      <c r="L49" s="39"/>
      <c r="M49" s="34">
        <f>M47*(1+$C$5)</f>
        <v>76374.725073584428</v>
      </c>
      <c r="N49" s="34">
        <f>N47*(1+$C$5)</f>
        <v>76374.551367541339</v>
      </c>
    </row>
    <row r="50" spans="2:14" ht="19.5" hidden="1" thickBot="1" x14ac:dyDescent="0.25">
      <c r="B50" s="44"/>
      <c r="C50" s="47"/>
      <c r="D50" s="48"/>
      <c r="E50" s="49"/>
      <c r="F50" s="49"/>
      <c r="G50" s="24">
        <f t="shared" si="3"/>
        <v>3.766261041232017E-2</v>
      </c>
      <c r="H50" s="49"/>
      <c r="I50" s="34">
        <f t="shared" si="1"/>
        <v>3.2667107224410172E-2</v>
      </c>
      <c r="J50" s="49"/>
      <c r="K50" s="34">
        <f t="shared" si="2"/>
        <v>3.1153781151208995E-2</v>
      </c>
      <c r="L50" s="49"/>
      <c r="M50" s="31">
        <f>(M51-M49)/M49</f>
        <v>2.4000000000000011E-2</v>
      </c>
      <c r="N50" s="31">
        <f>(N51-N49)/N49</f>
        <v>2.4000000000000066E-2</v>
      </c>
    </row>
    <row r="51" spans="2:14" ht="18.75" thickBot="1" x14ac:dyDescent="0.25">
      <c r="B51" s="44"/>
      <c r="C51" s="22" t="s">
        <v>17</v>
      </c>
      <c r="D51" s="36">
        <v>22</v>
      </c>
      <c r="E51" s="37"/>
      <c r="F51" s="38"/>
      <c r="G51" s="24">
        <f t="shared" si="3"/>
        <v>72836.61372526591</v>
      </c>
      <c r="H51" s="38"/>
      <c r="I51" s="34">
        <f t="shared" si="1"/>
        <v>74584.692454672288</v>
      </c>
      <c r="J51" s="38"/>
      <c r="K51" s="34">
        <f t="shared" si="2"/>
        <v>76374.725073584428</v>
      </c>
      <c r="L51" s="39"/>
      <c r="M51" s="34">
        <f>M49*(1+$C$5)</f>
        <v>78207.718475350455</v>
      </c>
      <c r="N51" s="34">
        <f>N49*(1+$C$5)</f>
        <v>78207.540600362336</v>
      </c>
    </row>
    <row r="52" spans="2:14" ht="19.5" hidden="1" thickBot="1" x14ac:dyDescent="0.25">
      <c r="B52" s="44"/>
      <c r="C52" s="47"/>
      <c r="D52" s="48"/>
      <c r="E52" s="49"/>
      <c r="F52" s="49"/>
      <c r="G52" s="24">
        <f t="shared" si="3"/>
        <v>3.8566513062215854E-2</v>
      </c>
      <c r="H52" s="49"/>
      <c r="I52" s="34">
        <f t="shared" si="1"/>
        <v>3.3451117797796019E-2</v>
      </c>
      <c r="J52" s="49"/>
      <c r="K52" s="34">
        <f t="shared" si="2"/>
        <v>3.1901471898838012E-2</v>
      </c>
      <c r="L52" s="49"/>
      <c r="M52" s="31">
        <f>(M53-M51)/M51</f>
        <v>2.4000000000000077E-2</v>
      </c>
      <c r="N52" s="31">
        <f>(N53-N51)/N51</f>
        <v>2.4E-2</v>
      </c>
    </row>
    <row r="53" spans="2:14" ht="18.75" thickBot="1" x14ac:dyDescent="0.25">
      <c r="B53" s="50"/>
      <c r="C53" s="22" t="s">
        <v>17</v>
      </c>
      <c r="D53" s="36">
        <v>23</v>
      </c>
      <c r="E53" s="37"/>
      <c r="F53" s="38"/>
      <c r="G53" s="24">
        <f t="shared" si="3"/>
        <v>74584.692454672288</v>
      </c>
      <c r="H53" s="38"/>
      <c r="I53" s="34">
        <f t="shared" si="1"/>
        <v>76374.725073584428</v>
      </c>
      <c r="J53" s="38"/>
      <c r="K53" s="34">
        <f t="shared" si="2"/>
        <v>78207.718475350455</v>
      </c>
      <c r="L53" s="39"/>
      <c r="M53" s="34">
        <f>M51*(1+$C$5)</f>
        <v>80084.703718758872</v>
      </c>
      <c r="N53" s="34">
        <f>N51*(1+$C$5)</f>
        <v>80084.521574771032</v>
      </c>
    </row>
    <row r="54" spans="2:14" ht="19.5" hidden="1" thickBot="1" x14ac:dyDescent="0.25">
      <c r="B54" s="50"/>
      <c r="C54" s="47"/>
      <c r="D54" s="48"/>
      <c r="E54" s="49"/>
      <c r="F54" s="49"/>
      <c r="G54" s="24">
        <f t="shared" si="3"/>
        <v>3.9492109375709038E-2</v>
      </c>
      <c r="H54" s="49"/>
      <c r="I54" s="34">
        <f t="shared" si="1"/>
        <v>3.4253944624943126E-2</v>
      </c>
      <c r="J54" s="49"/>
      <c r="K54" s="34">
        <f t="shared" si="2"/>
        <v>3.2667107224410123E-2</v>
      </c>
      <c r="L54" s="49"/>
      <c r="M54" s="31">
        <f>(M55-M53)/M53</f>
        <v>2.4000000000000025E-2</v>
      </c>
      <c r="N54" s="31">
        <f>(N55-N53)/N53</f>
        <v>2.3999999999999994E-2</v>
      </c>
    </row>
    <row r="55" spans="2:14" ht="18.75" thickBot="1" x14ac:dyDescent="0.25">
      <c r="B55" s="50"/>
      <c r="C55" s="22" t="s">
        <v>17</v>
      </c>
      <c r="D55" s="36">
        <v>24</v>
      </c>
      <c r="E55" s="37"/>
      <c r="F55" s="38"/>
      <c r="G55" s="24">
        <f t="shared" si="3"/>
        <v>76374.725073584428</v>
      </c>
      <c r="H55" s="38"/>
      <c r="I55" s="34">
        <f t="shared" si="1"/>
        <v>78207.718475350455</v>
      </c>
      <c r="J55" s="38"/>
      <c r="K55" s="34">
        <f t="shared" si="2"/>
        <v>80084.703718758872</v>
      </c>
      <c r="L55" s="39"/>
      <c r="M55" s="51">
        <f>M53*(1+$C$5)</f>
        <v>82006.736608009087</v>
      </c>
      <c r="N55" s="51">
        <f>N53*(1+$C$5)</f>
        <v>82006.550092565536</v>
      </c>
    </row>
    <row r="56" spans="2:14" ht="15.75" hidden="1" thickBot="1" x14ac:dyDescent="0.25">
      <c r="B56" s="50"/>
      <c r="C56" s="52"/>
      <c r="D56" s="53"/>
      <c r="E56" s="54"/>
      <c r="F56" s="54"/>
      <c r="G56" s="24">
        <f t="shared" si="3"/>
        <v>4.0439920000726055E-2</v>
      </c>
      <c r="H56" s="54"/>
      <c r="I56" s="34">
        <f t="shared" si="1"/>
        <v>3.5076039295941761E-2</v>
      </c>
      <c r="J56" s="54"/>
      <c r="K56" s="34">
        <f t="shared" si="2"/>
        <v>3.3451117797795964E-2</v>
      </c>
      <c r="L56" s="54"/>
      <c r="M56" s="51">
        <f t="shared" ref="M56:N67" si="4">M54*(1+$C$5)</f>
        <v>2.4576000000000025E-2</v>
      </c>
      <c r="N56" s="51">
        <f t="shared" si="4"/>
        <v>2.4575999999999994E-2</v>
      </c>
    </row>
    <row r="57" spans="2:14" ht="18.75" thickBot="1" x14ac:dyDescent="0.25">
      <c r="B57" s="50"/>
      <c r="C57" s="22" t="s">
        <v>17</v>
      </c>
      <c r="D57" s="36">
        <v>25</v>
      </c>
      <c r="E57" s="36"/>
      <c r="F57" s="36"/>
      <c r="G57" s="24">
        <f t="shared" si="3"/>
        <v>78207.718475350455</v>
      </c>
      <c r="H57" s="36"/>
      <c r="I57" s="34">
        <f t="shared" si="1"/>
        <v>80084.703718758872</v>
      </c>
      <c r="J57" s="36"/>
      <c r="K57" s="34">
        <f t="shared" si="2"/>
        <v>82006.736608009087</v>
      </c>
      <c r="L57" s="36"/>
      <c r="M57" s="51">
        <f t="shared" si="4"/>
        <v>83974.89828660131</v>
      </c>
      <c r="N57" s="51">
        <f t="shared" si="4"/>
        <v>83974.707294787106</v>
      </c>
    </row>
    <row r="58" spans="2:14" ht="15.75" hidden="1" thickBot="1" x14ac:dyDescent="0.25">
      <c r="B58" s="50"/>
      <c r="C58" s="52"/>
      <c r="D58" s="53"/>
      <c r="E58" s="54"/>
      <c r="F58" s="54"/>
      <c r="G58" s="24">
        <f t="shared" si="3"/>
        <v>4.1410478080743482E-2</v>
      </c>
      <c r="H58" s="54"/>
      <c r="I58" s="34">
        <f t="shared" si="1"/>
        <v>3.5917864239044361E-2</v>
      </c>
      <c r="J58" s="54"/>
      <c r="K58" s="34">
        <f t="shared" si="2"/>
        <v>3.4253944624943071E-2</v>
      </c>
      <c r="L58" s="54"/>
      <c r="M58" s="51">
        <f t="shared" si="4"/>
        <v>2.5165824000000028E-2</v>
      </c>
      <c r="N58" s="51">
        <f t="shared" si="4"/>
        <v>2.5165823999999993E-2</v>
      </c>
    </row>
    <row r="59" spans="2:14" ht="18.75" thickBot="1" x14ac:dyDescent="0.25">
      <c r="B59" s="50"/>
      <c r="C59" s="22" t="s">
        <v>17</v>
      </c>
      <c r="D59" s="36">
        <v>26</v>
      </c>
      <c r="E59" s="36"/>
      <c r="F59" s="36"/>
      <c r="G59" s="24">
        <f t="shared" si="3"/>
        <v>80084.703718758872</v>
      </c>
      <c r="H59" s="36"/>
      <c r="I59" s="34">
        <f t="shared" si="1"/>
        <v>82006.736608009087</v>
      </c>
      <c r="J59" s="36"/>
      <c r="K59" s="34">
        <f t="shared" si="2"/>
        <v>83974.89828660131</v>
      </c>
      <c r="L59" s="36"/>
      <c r="M59" s="51">
        <f t="shared" si="4"/>
        <v>85990.295845479748</v>
      </c>
      <c r="N59" s="51">
        <f t="shared" si="4"/>
        <v>85990.100269862</v>
      </c>
    </row>
    <row r="60" spans="2:14" ht="15.75" hidden="1" thickBot="1" x14ac:dyDescent="0.25">
      <c r="B60" s="50"/>
      <c r="C60" s="55"/>
      <c r="D60" s="53"/>
      <c r="E60" s="54"/>
      <c r="F60" s="54"/>
      <c r="G60" s="24">
        <f t="shared" si="3"/>
        <v>4.2404329554681326E-2</v>
      </c>
      <c r="H60" s="54"/>
      <c r="I60" s="34">
        <f t="shared" si="1"/>
        <v>3.677989298078143E-2</v>
      </c>
      <c r="J60" s="54"/>
      <c r="K60" s="34">
        <f t="shared" si="2"/>
        <v>3.5076039295941705E-2</v>
      </c>
      <c r="L60" s="54"/>
      <c r="M60" s="51">
        <f t="shared" si="4"/>
        <v>2.5769803776000029E-2</v>
      </c>
      <c r="N60" s="51">
        <f t="shared" si="4"/>
        <v>2.5769803775999994E-2</v>
      </c>
    </row>
    <row r="61" spans="2:14" ht="18.75" thickBot="1" x14ac:dyDescent="0.25">
      <c r="B61" s="50"/>
      <c r="C61" s="22" t="s">
        <v>17</v>
      </c>
      <c r="D61" s="36">
        <v>27</v>
      </c>
      <c r="E61" s="36"/>
      <c r="F61" s="36"/>
      <c r="G61" s="24">
        <f t="shared" si="3"/>
        <v>82006.736608009087</v>
      </c>
      <c r="H61" s="36"/>
      <c r="I61" s="34">
        <f t="shared" si="1"/>
        <v>83974.89828660131</v>
      </c>
      <c r="J61" s="36"/>
      <c r="K61" s="34">
        <f t="shared" si="2"/>
        <v>85990.295845479748</v>
      </c>
      <c r="L61" s="36"/>
      <c r="M61" s="51">
        <f t="shared" si="4"/>
        <v>88054.062945771264</v>
      </c>
      <c r="N61" s="51">
        <f t="shared" si="4"/>
        <v>88053.862676338686</v>
      </c>
    </row>
    <row r="62" spans="2:14" ht="15.75" hidden="1" thickBot="1" x14ac:dyDescent="0.25">
      <c r="B62" s="50"/>
      <c r="C62" s="55"/>
      <c r="D62" s="56"/>
      <c r="E62" s="55"/>
      <c r="F62" s="55"/>
      <c r="G62" s="24">
        <f t="shared" si="3"/>
        <v>4.3422033463993676E-2</v>
      </c>
      <c r="H62" s="55"/>
      <c r="I62" s="34">
        <f t="shared" si="1"/>
        <v>3.7662610412320184E-2</v>
      </c>
      <c r="J62" s="55"/>
      <c r="K62" s="34">
        <f t="shared" si="2"/>
        <v>3.5917864239044306E-2</v>
      </c>
      <c r="L62" s="55"/>
      <c r="M62" s="51">
        <f t="shared" si="4"/>
        <v>2.638827906662403E-2</v>
      </c>
      <c r="N62" s="51">
        <f t="shared" si="4"/>
        <v>2.6388279066623995E-2</v>
      </c>
    </row>
    <row r="63" spans="2:14" ht="18.75" thickBot="1" x14ac:dyDescent="0.25">
      <c r="B63" s="50"/>
      <c r="C63" s="22" t="s">
        <v>17</v>
      </c>
      <c r="D63" s="36">
        <v>28</v>
      </c>
      <c r="E63" s="36"/>
      <c r="F63" s="36"/>
      <c r="G63" s="24">
        <f t="shared" si="3"/>
        <v>83974.89828660131</v>
      </c>
      <c r="H63" s="36"/>
      <c r="I63" s="34">
        <f t="shared" si="1"/>
        <v>85990.295845479748</v>
      </c>
      <c r="J63" s="36"/>
      <c r="K63" s="34">
        <f t="shared" si="2"/>
        <v>88054.062945771264</v>
      </c>
      <c r="L63" s="36"/>
      <c r="M63" s="51">
        <f t="shared" si="4"/>
        <v>90167.360456469774</v>
      </c>
      <c r="N63" s="51">
        <f t="shared" si="4"/>
        <v>90167.15538057081</v>
      </c>
    </row>
    <row r="64" spans="2:14" ht="15.75" hidden="1" thickBot="1" x14ac:dyDescent="0.25">
      <c r="B64" s="50" t="s">
        <v>18</v>
      </c>
      <c r="C64" s="55"/>
      <c r="D64" s="56"/>
      <c r="E64" s="55"/>
      <c r="F64" s="55"/>
      <c r="G64" s="24">
        <f t="shared" si="3"/>
        <v>4.4464162267129521E-2</v>
      </c>
      <c r="H64" s="55"/>
      <c r="I64" s="34">
        <f t="shared" si="1"/>
        <v>3.8566513062215868E-2</v>
      </c>
      <c r="J64" s="55"/>
      <c r="K64" s="34">
        <f t="shared" si="2"/>
        <v>3.6779892980781367E-2</v>
      </c>
      <c r="L64" s="55"/>
      <c r="M64" s="51">
        <f t="shared" si="4"/>
        <v>2.7021597764223006E-2</v>
      </c>
      <c r="N64" s="51">
        <f t="shared" si="4"/>
        <v>2.7021597764222971E-2</v>
      </c>
    </row>
    <row r="65" spans="3:14" ht="18.75" thickBot="1" x14ac:dyDescent="0.25">
      <c r="C65" s="22" t="s">
        <v>17</v>
      </c>
      <c r="D65" s="36">
        <v>29</v>
      </c>
      <c r="E65" s="36"/>
      <c r="F65" s="36"/>
      <c r="G65" s="24">
        <f t="shared" si="3"/>
        <v>85990.295845479748</v>
      </c>
      <c r="H65" s="36"/>
      <c r="I65" s="34">
        <f t="shared" si="1"/>
        <v>88054.062945771264</v>
      </c>
      <c r="J65" s="36"/>
      <c r="K65" s="34">
        <f t="shared" si="2"/>
        <v>90167.360456469774</v>
      </c>
      <c r="L65" s="36"/>
      <c r="M65" s="51">
        <f t="shared" si="4"/>
        <v>92331.377107425054</v>
      </c>
      <c r="N65" s="51">
        <f t="shared" si="4"/>
        <v>92331.167109704518</v>
      </c>
    </row>
    <row r="66" spans="3:14" ht="15.75" hidden="1" thickBot="1" x14ac:dyDescent="0.3">
      <c r="G66" s="24">
        <f t="shared" si="3"/>
        <v>4.5531302161540631E-2</v>
      </c>
      <c r="I66" s="34">
        <f t="shared" si="1"/>
        <v>3.9492109375709052E-2</v>
      </c>
      <c r="K66" s="34">
        <f t="shared" si="2"/>
        <v>3.7662610412320122E-2</v>
      </c>
      <c r="M66" s="51">
        <f t="shared" si="4"/>
        <v>2.7670116110564358E-2</v>
      </c>
      <c r="N66" s="51">
        <f t="shared" si="4"/>
        <v>2.7670116110564323E-2</v>
      </c>
    </row>
    <row r="67" spans="3:14" ht="18.75" thickBot="1" x14ac:dyDescent="0.25">
      <c r="C67" s="22" t="s">
        <v>17</v>
      </c>
      <c r="D67" s="36">
        <v>30</v>
      </c>
      <c r="E67" s="36"/>
      <c r="F67" s="36"/>
      <c r="G67" s="24">
        <f t="shared" si="3"/>
        <v>88054.062945771264</v>
      </c>
      <c r="H67" s="36"/>
      <c r="I67" s="34">
        <f t="shared" si="1"/>
        <v>90167.360456469774</v>
      </c>
      <c r="J67" s="36"/>
      <c r="K67" s="34">
        <f t="shared" si="2"/>
        <v>92331.377107425054</v>
      </c>
      <c r="L67" s="36"/>
      <c r="M67" s="51">
        <f t="shared" si="4"/>
        <v>94547.330158003257</v>
      </c>
      <c r="N67" s="51">
        <f t="shared" si="4"/>
        <v>94547.115120337432</v>
      </c>
    </row>
    <row r="69" spans="3:14" x14ac:dyDescent="0.25">
      <c r="D69" s="58" t="s">
        <v>19</v>
      </c>
    </row>
  </sheetData>
  <mergeCells count="6">
    <mergeCell ref="N5:N7"/>
    <mergeCell ref="E5:E7"/>
    <mergeCell ref="G5:G7"/>
    <mergeCell ref="I5:I7"/>
    <mergeCell ref="K5:K7"/>
    <mergeCell ref="M5:M7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1"/>
  <sheetViews>
    <sheetView tabSelected="1" workbookViewId="0">
      <selection activeCell="D2" sqref="D2"/>
    </sheetView>
  </sheetViews>
  <sheetFormatPr defaultRowHeight="12.75" x14ac:dyDescent="0.2"/>
  <cols>
    <col min="5" max="5" width="11.5703125" bestFit="1" customWidth="1"/>
    <col min="6" max="6" width="0" hidden="1" customWidth="1"/>
    <col min="7" max="7" width="13.5703125" bestFit="1" customWidth="1"/>
    <col min="8" max="8" width="0" hidden="1" customWidth="1"/>
    <col min="9" max="9" width="15.42578125" bestFit="1" customWidth="1"/>
    <col min="10" max="10" width="0" hidden="1" customWidth="1"/>
    <col min="11" max="11" width="16" bestFit="1" customWidth="1"/>
    <col min="12" max="12" width="8.42578125" hidden="1" customWidth="1"/>
    <col min="13" max="13" width="16.28515625" bestFit="1" customWidth="1"/>
    <col min="14" max="14" width="19.28515625" customWidth="1"/>
    <col min="15" max="15" width="0" hidden="1" customWidth="1"/>
  </cols>
  <sheetData>
    <row r="1" spans="3:15" ht="18" x14ac:dyDescent="0.25">
      <c r="C1" s="1"/>
      <c r="D1" s="2" t="s">
        <v>23</v>
      </c>
      <c r="E1" s="2"/>
      <c r="F1" s="2"/>
      <c r="G1" s="2"/>
      <c r="H1" s="2"/>
      <c r="I1" s="2"/>
      <c r="J1" s="2"/>
      <c r="K1" s="2"/>
      <c r="L1" s="2"/>
      <c r="M1" s="2"/>
      <c r="N1" s="3"/>
    </row>
    <row r="2" spans="3:15" ht="15" x14ac:dyDescent="0.25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3:15" ht="15" x14ac:dyDescent="0.2">
      <c r="C3" s="59"/>
      <c r="D3" s="60"/>
      <c r="E3" s="61" t="s">
        <v>0</v>
      </c>
      <c r="F3" s="60"/>
      <c r="G3" s="61" t="s">
        <v>0</v>
      </c>
      <c r="H3" s="60"/>
      <c r="I3" s="61" t="s">
        <v>0</v>
      </c>
      <c r="J3" s="60"/>
      <c r="K3" s="61" t="s">
        <v>0</v>
      </c>
      <c r="L3" s="60"/>
      <c r="M3" s="61" t="s">
        <v>0</v>
      </c>
      <c r="N3" s="61" t="s">
        <v>0</v>
      </c>
      <c r="O3" s="62"/>
    </row>
    <row r="4" spans="3:15" ht="34.5" x14ac:dyDescent="0.25">
      <c r="C4" s="10">
        <v>0.03</v>
      </c>
      <c r="D4" s="63" t="s">
        <v>1</v>
      </c>
      <c r="E4" s="60" t="s">
        <v>2</v>
      </c>
      <c r="F4" s="60"/>
      <c r="G4" s="60" t="s">
        <v>3</v>
      </c>
      <c r="H4" s="60"/>
      <c r="I4" s="60" t="s">
        <v>4</v>
      </c>
      <c r="J4" s="60"/>
      <c r="K4" s="60" t="s">
        <v>5</v>
      </c>
      <c r="L4" s="60"/>
      <c r="M4" s="60" t="s">
        <v>6</v>
      </c>
      <c r="N4" s="60" t="s">
        <v>7</v>
      </c>
      <c r="O4" s="62"/>
    </row>
    <row r="5" spans="3:15" ht="15" x14ac:dyDescent="0.25">
      <c r="C5" s="91">
        <v>2.4E-2</v>
      </c>
      <c r="D5" s="64" t="s">
        <v>8</v>
      </c>
      <c r="E5" s="95" t="s">
        <v>9</v>
      </c>
      <c r="F5" s="65"/>
      <c r="G5" s="95" t="s">
        <v>10</v>
      </c>
      <c r="H5" s="65"/>
      <c r="I5" s="95" t="s">
        <v>11</v>
      </c>
      <c r="J5" s="65"/>
      <c r="K5" s="95" t="s">
        <v>12</v>
      </c>
      <c r="L5" s="65"/>
      <c r="M5" s="95" t="s">
        <v>13</v>
      </c>
      <c r="N5" s="95" t="s">
        <v>14</v>
      </c>
      <c r="O5" s="62"/>
    </row>
    <row r="6" spans="3:15" ht="15" x14ac:dyDescent="0.25">
      <c r="C6" s="91">
        <v>6.0000000000000001E-3</v>
      </c>
      <c r="D6" s="64" t="s">
        <v>15</v>
      </c>
      <c r="E6" s="95"/>
      <c r="F6" s="65"/>
      <c r="G6" s="95"/>
      <c r="H6" s="65"/>
      <c r="I6" s="95"/>
      <c r="J6" s="65"/>
      <c r="K6" s="95"/>
      <c r="L6" s="65"/>
      <c r="M6" s="95"/>
      <c r="N6" s="95"/>
      <c r="O6" s="62"/>
    </row>
    <row r="7" spans="3:15" ht="15" x14ac:dyDescent="0.2">
      <c r="C7" s="59"/>
      <c r="D7" s="60"/>
      <c r="E7" s="95"/>
      <c r="F7" s="65"/>
      <c r="G7" s="95"/>
      <c r="H7" s="65"/>
      <c r="I7" s="95"/>
      <c r="J7" s="65"/>
      <c r="K7" s="95"/>
      <c r="L7" s="65"/>
      <c r="M7" s="95"/>
      <c r="N7" s="95"/>
      <c r="O7" s="62"/>
    </row>
    <row r="8" spans="3:15" ht="15" x14ac:dyDescent="0.2">
      <c r="C8" s="59"/>
      <c r="D8" s="60"/>
      <c r="E8" s="65" t="s">
        <v>16</v>
      </c>
      <c r="F8" s="65"/>
      <c r="G8" s="65" t="s">
        <v>16</v>
      </c>
      <c r="H8" s="65"/>
      <c r="I8" s="65" t="s">
        <v>16</v>
      </c>
      <c r="J8" s="65"/>
      <c r="K8" s="65" t="s">
        <v>16</v>
      </c>
      <c r="L8" s="65"/>
      <c r="M8" s="65" t="s">
        <v>16</v>
      </c>
      <c r="N8" s="65" t="s">
        <v>16</v>
      </c>
      <c r="O8" s="62"/>
    </row>
    <row r="9" spans="3:15" ht="18" x14ac:dyDescent="0.2">
      <c r="C9" s="66" t="s">
        <v>17</v>
      </c>
      <c r="D9" s="67">
        <v>1</v>
      </c>
      <c r="E9" s="68">
        <f>42292*1.05</f>
        <v>44406.6</v>
      </c>
      <c r="F9" s="69">
        <f>(G9-E9)/E9</f>
        <v>0.11037548472524358</v>
      </c>
      <c r="G9" s="68">
        <f>46960*1.05</f>
        <v>49308</v>
      </c>
      <c r="H9" s="69">
        <f>(I9-G9)/G9</f>
        <v>2.3999148211243583E-2</v>
      </c>
      <c r="I9" s="68">
        <f>G11</f>
        <v>50491.35</v>
      </c>
      <c r="J9" s="69">
        <f>(K9-I9)/I9</f>
        <v>2.3977374342337876E-2</v>
      </c>
      <c r="K9" s="68">
        <f>G13</f>
        <v>51702</v>
      </c>
      <c r="L9" s="69">
        <f>(M9-K9)/K9</f>
        <v>2.4025182778229109E-2</v>
      </c>
      <c r="M9" s="68">
        <f>G15</f>
        <v>52944.15</v>
      </c>
      <c r="N9" s="68">
        <f>61921*1.05</f>
        <v>65017.05</v>
      </c>
      <c r="O9" s="62"/>
    </row>
    <row r="10" spans="3:15" ht="18" hidden="1" x14ac:dyDescent="0.2">
      <c r="C10" s="70"/>
      <c r="D10" s="71"/>
      <c r="E10" s="72">
        <f>(E11-E9)/E9</f>
        <v>0</v>
      </c>
      <c r="F10" s="68"/>
      <c r="G10" s="72">
        <f>(G11-G9)/G9</f>
        <v>2.3999148211243583E-2</v>
      </c>
      <c r="H10" s="68"/>
      <c r="I10" s="72">
        <f>(I11-I9)/I9</f>
        <v>2.3977374342337876E-2</v>
      </c>
      <c r="J10" s="68"/>
      <c r="K10" s="72">
        <f>(K11-K9)/K9</f>
        <v>2.4025182778229109E-2</v>
      </c>
      <c r="L10" s="68"/>
      <c r="M10" s="72">
        <f>(M11-M9)/M9</f>
        <v>2.3996985502647599E-2</v>
      </c>
      <c r="N10" s="72">
        <f>(N11-N9)/N9</f>
        <v>2.2011918412170255E-2</v>
      </c>
      <c r="O10" s="62"/>
    </row>
    <row r="11" spans="3:15" ht="18" x14ac:dyDescent="0.2">
      <c r="C11" s="66" t="s">
        <v>17</v>
      </c>
      <c r="D11" s="67">
        <v>2</v>
      </c>
      <c r="E11" s="68">
        <f>42292*1.05</f>
        <v>44406.6</v>
      </c>
      <c r="F11" s="69">
        <f>(G11-E11)/E11</f>
        <v>0.13702355055329613</v>
      </c>
      <c r="G11" s="68">
        <f>48087*1.05</f>
        <v>50491.35</v>
      </c>
      <c r="H11" s="69">
        <f>(I11-G11)/G11</f>
        <v>2.3977374342337876E-2</v>
      </c>
      <c r="I11" s="73">
        <f>G13</f>
        <v>51702</v>
      </c>
      <c r="J11" s="69">
        <f>(K11-I11)/I11</f>
        <v>2.4025182778229109E-2</v>
      </c>
      <c r="K11" s="73">
        <f>G15</f>
        <v>52944.15</v>
      </c>
      <c r="L11" s="69">
        <f>(M11-K11)/K11</f>
        <v>2.3996985502647599E-2</v>
      </c>
      <c r="M11" s="73">
        <f>G17</f>
        <v>54214.65</v>
      </c>
      <c r="N11" s="73">
        <f>63284*1.05</f>
        <v>66448.2</v>
      </c>
      <c r="O11" s="62"/>
    </row>
    <row r="12" spans="3:15" ht="18" hidden="1" x14ac:dyDescent="0.2">
      <c r="C12" s="70"/>
      <c r="D12" s="71"/>
      <c r="E12" s="72">
        <f>(E13-E11)/E11</f>
        <v>0</v>
      </c>
      <c r="F12" s="73"/>
      <c r="G12" s="72">
        <f>(G13-G11)/G11</f>
        <v>2.3977374342337876E-2</v>
      </c>
      <c r="H12" s="73"/>
      <c r="I12" s="72">
        <f>(I13-I11)/I11</f>
        <v>2.4025182778229109E-2</v>
      </c>
      <c r="J12" s="73"/>
      <c r="K12" s="72">
        <f>(K13-K11)/K11</f>
        <v>2.3996985502647599E-2</v>
      </c>
      <c r="L12" s="73"/>
      <c r="M12" s="72">
        <f>(M13-M11)/M11</f>
        <v>2.39962814479113E-2</v>
      </c>
      <c r="N12" s="72">
        <f>(N13-N11)/N11</f>
        <v>2.2024840401997325E-2</v>
      </c>
      <c r="O12" s="62"/>
    </row>
    <row r="13" spans="3:15" ht="18" x14ac:dyDescent="0.2">
      <c r="C13" s="66" t="s">
        <v>17</v>
      </c>
      <c r="D13" s="67">
        <v>3</v>
      </c>
      <c r="E13" s="68">
        <f>42292*1.05</f>
        <v>44406.6</v>
      </c>
      <c r="F13" s="69">
        <f>(G13-E13)/E13</f>
        <v>0.16428638986096666</v>
      </c>
      <c r="G13" s="68">
        <f>49240*1.05</f>
        <v>51702</v>
      </c>
      <c r="H13" s="69">
        <f>(I13-G13)/G13</f>
        <v>2.4025182778229109E-2</v>
      </c>
      <c r="I13" s="73">
        <f>G15</f>
        <v>52944.15</v>
      </c>
      <c r="J13" s="69">
        <f>(K13-I13)/I13</f>
        <v>2.3996985502647599E-2</v>
      </c>
      <c r="K13" s="73">
        <f>G17</f>
        <v>54214.65</v>
      </c>
      <c r="L13" s="69">
        <f>(M13-K13)/K13</f>
        <v>2.39962814479113E-2</v>
      </c>
      <c r="M13" s="73">
        <f>G19</f>
        <v>55515.600000000006</v>
      </c>
      <c r="N13" s="73">
        <f>64677.82*1.05</f>
        <v>67911.710999999996</v>
      </c>
      <c r="O13" s="62"/>
    </row>
    <row r="14" spans="3:15" ht="18" hidden="1" x14ac:dyDescent="0.2">
      <c r="C14" s="70"/>
      <c r="D14" s="71"/>
      <c r="E14" s="72"/>
      <c r="F14" s="73"/>
      <c r="G14" s="68">
        <f t="shared" ref="G14:G46" si="0">G12*(1+$C$5)</f>
        <v>2.4552831326553986E-2</v>
      </c>
      <c r="H14" s="73"/>
      <c r="I14" s="72">
        <f>(I15-I13)/I13</f>
        <v>2.3996985502647599E-2</v>
      </c>
      <c r="J14" s="73"/>
      <c r="K14" s="72">
        <f>(K15-K13)/K13</f>
        <v>2.39962814479113E-2</v>
      </c>
      <c r="L14" s="73"/>
      <c r="M14" s="72">
        <f>(M15-M13)/M13</f>
        <v>2.4001361779391682E-2</v>
      </c>
      <c r="N14" s="72">
        <f>(N15-N13)/N13</f>
        <v>2.2112371752789635E-2</v>
      </c>
      <c r="O14" s="62"/>
    </row>
    <row r="15" spans="3:15" ht="18" x14ac:dyDescent="0.2">
      <c r="C15" s="66" t="s">
        <v>17</v>
      </c>
      <c r="D15" s="67">
        <v>4</v>
      </c>
      <c r="E15" s="74"/>
      <c r="F15" s="75"/>
      <c r="G15" s="68">
        <f>50423*1.05</f>
        <v>52944.15</v>
      </c>
      <c r="H15" s="75"/>
      <c r="I15" s="73">
        <f>G17</f>
        <v>54214.65</v>
      </c>
      <c r="J15" s="69">
        <f>(K15-I15)/I15</f>
        <v>2.39962814479113E-2</v>
      </c>
      <c r="K15" s="73">
        <f>G19</f>
        <v>55515.600000000006</v>
      </c>
      <c r="L15" s="69">
        <f>(M15-K15)/K15</f>
        <v>2.4001361779391682E-2</v>
      </c>
      <c r="M15" s="73">
        <f>G21</f>
        <v>56848.05</v>
      </c>
      <c r="N15" s="73">
        <f>66108*1.05</f>
        <v>69413.400000000009</v>
      </c>
      <c r="O15" s="62"/>
    </row>
    <row r="16" spans="3:15" ht="18" hidden="1" x14ac:dyDescent="0.2">
      <c r="C16" s="70"/>
      <c r="D16" s="71"/>
      <c r="E16" s="76"/>
      <c r="F16" s="73"/>
      <c r="G16" s="68"/>
      <c r="H16" s="73"/>
      <c r="I16" s="72">
        <f>(I17-I15)/I15</f>
        <v>2.39962814479113E-2</v>
      </c>
      <c r="J16" s="73"/>
      <c r="K16" s="72">
        <f>(K17-K15)/K15</f>
        <v>2.4001361779391682E-2</v>
      </c>
      <c r="L16" s="73"/>
      <c r="M16" s="72">
        <f>(M17-M15)/M15</f>
        <v>2.4011377698971204E-2</v>
      </c>
      <c r="N16" s="72">
        <f>(N17-N15)/N15</f>
        <v>2.211532643552961E-2</v>
      </c>
      <c r="O16" s="62"/>
    </row>
    <row r="17" spans="3:15" ht="18" x14ac:dyDescent="0.2">
      <c r="C17" s="66" t="s">
        <v>17</v>
      </c>
      <c r="D17" s="67">
        <v>5</v>
      </c>
      <c r="E17" s="74"/>
      <c r="F17" s="75"/>
      <c r="G17" s="68">
        <f>51633*1.05</f>
        <v>54214.65</v>
      </c>
      <c r="H17" s="75"/>
      <c r="I17" s="73">
        <f>G19</f>
        <v>55515.600000000006</v>
      </c>
      <c r="J17" s="69">
        <f>(K17-I17)/I17</f>
        <v>2.4001361779391682E-2</v>
      </c>
      <c r="K17" s="73">
        <f>G21</f>
        <v>56848.05</v>
      </c>
      <c r="L17" s="69">
        <f>(M17-K17)/K17</f>
        <v>2.4011377698971204E-2</v>
      </c>
      <c r="M17" s="73">
        <f>G23</f>
        <v>58213.05</v>
      </c>
      <c r="N17" s="73">
        <f>67570*1.05</f>
        <v>70948.5</v>
      </c>
      <c r="O17" s="62"/>
    </row>
    <row r="18" spans="3:15" ht="18" hidden="1" x14ac:dyDescent="0.2">
      <c r="C18" s="70"/>
      <c r="D18" s="71"/>
      <c r="E18" s="76"/>
      <c r="F18" s="73"/>
      <c r="G18" s="68">
        <f t="shared" si="0"/>
        <v>0</v>
      </c>
      <c r="H18" s="73"/>
      <c r="I18" s="72">
        <f>(I19-I17)/I17</f>
        <v>2.4001361779391682E-2</v>
      </c>
      <c r="J18" s="73"/>
      <c r="K18" s="72">
        <f>(K19-K17)/K17</f>
        <v>2.4011377698971204E-2</v>
      </c>
      <c r="L18" s="73"/>
      <c r="M18" s="72">
        <f>(M19-M17)/M17</f>
        <v>2.3989466279468262E-2</v>
      </c>
      <c r="N18" s="72">
        <f>(N19-N17)/N17</f>
        <v>2.2169601894331929E-2</v>
      </c>
      <c r="O18" s="62"/>
    </row>
    <row r="19" spans="3:15" ht="18" x14ac:dyDescent="0.2">
      <c r="C19" s="66" t="s">
        <v>17</v>
      </c>
      <c r="D19" s="67">
        <v>6</v>
      </c>
      <c r="E19" s="74"/>
      <c r="F19" s="75"/>
      <c r="G19" s="68">
        <f>52872*1.05</f>
        <v>55515.600000000006</v>
      </c>
      <c r="H19" s="75"/>
      <c r="I19" s="73">
        <f>G21</f>
        <v>56848.05</v>
      </c>
      <c r="J19" s="69">
        <f>(K19-I19)/I19</f>
        <v>2.4011377698971204E-2</v>
      </c>
      <c r="K19" s="73">
        <f>G23</f>
        <v>58213.05</v>
      </c>
      <c r="L19" s="69">
        <f>(M19-K19)/K19</f>
        <v>2.3989466279468262E-2</v>
      </c>
      <c r="M19" s="73">
        <f>G25</f>
        <v>59609.55</v>
      </c>
      <c r="N19" s="73">
        <f>69068*1.05</f>
        <v>72521.400000000009</v>
      </c>
      <c r="O19" s="62"/>
    </row>
    <row r="20" spans="3:15" ht="18" hidden="1" x14ac:dyDescent="0.2">
      <c r="C20" s="70"/>
      <c r="D20" s="71"/>
      <c r="E20" s="76"/>
      <c r="F20" s="73"/>
      <c r="G20" s="68"/>
      <c r="H20" s="73"/>
      <c r="I20" s="72">
        <f>(I21-I19)/I19</f>
        <v>2.4011377698971204E-2</v>
      </c>
      <c r="J20" s="73"/>
      <c r="K20" s="72">
        <f>(K21-K19)/K19</f>
        <v>2.3989466279468262E-2</v>
      </c>
      <c r="L20" s="73"/>
      <c r="M20" s="72">
        <f>(M21-M19)/M19</f>
        <v>2.399112222789802E-2</v>
      </c>
      <c r="N20" s="72">
        <f>(N21-N19)/N19</f>
        <v>2.2224474430995539E-2</v>
      </c>
      <c r="O20" s="62"/>
    </row>
    <row r="21" spans="3:15" ht="18" x14ac:dyDescent="0.2">
      <c r="C21" s="66" t="s">
        <v>17</v>
      </c>
      <c r="D21" s="67">
        <v>7</v>
      </c>
      <c r="E21" s="74"/>
      <c r="F21" s="75"/>
      <c r="G21" s="68">
        <f>54141*1.05</f>
        <v>56848.05</v>
      </c>
      <c r="H21" s="75"/>
      <c r="I21" s="73">
        <f>G23</f>
        <v>58213.05</v>
      </c>
      <c r="J21" s="69">
        <f>(K21-I21)/I21</f>
        <v>2.3989466279468262E-2</v>
      </c>
      <c r="K21" s="73">
        <f>G25</f>
        <v>59609.55</v>
      </c>
      <c r="L21" s="69">
        <f>(M21-K21)/K21</f>
        <v>2.399112222789802E-2</v>
      </c>
      <c r="M21" s="73">
        <f>G27</f>
        <v>61039.65</v>
      </c>
      <c r="N21" s="73">
        <f>70603*1.05</f>
        <v>74133.150000000009</v>
      </c>
      <c r="O21" s="62"/>
    </row>
    <row r="22" spans="3:15" ht="18" hidden="1" x14ac:dyDescent="0.2">
      <c r="C22" s="70"/>
      <c r="D22" s="71"/>
      <c r="E22" s="76"/>
      <c r="F22" s="73"/>
      <c r="G22" s="68">
        <f t="shared" si="0"/>
        <v>0</v>
      </c>
      <c r="H22" s="73"/>
      <c r="I22" s="72">
        <f>(I23-I21)/I21</f>
        <v>2.3989466279468262E-2</v>
      </c>
      <c r="J22" s="73"/>
      <c r="K22" s="72">
        <f>(K23-K21)/K21</f>
        <v>2.399112222789802E-2</v>
      </c>
      <c r="L22" s="73"/>
      <c r="M22" s="72">
        <f>(M23-M21)/M21</f>
        <v>2.3996697228768512E-2</v>
      </c>
      <c r="N22" s="72">
        <f>(N23-N21)/N21</f>
        <v>2.2251179128365491E-2</v>
      </c>
      <c r="O22" s="62"/>
    </row>
    <row r="23" spans="3:15" ht="18" x14ac:dyDescent="0.2">
      <c r="C23" s="66" t="s">
        <v>17</v>
      </c>
      <c r="D23" s="67">
        <v>8</v>
      </c>
      <c r="E23" s="74"/>
      <c r="F23" s="75"/>
      <c r="G23" s="68">
        <f>55441*1.05</f>
        <v>58213.05</v>
      </c>
      <c r="H23" s="75"/>
      <c r="I23" s="73">
        <f>G25</f>
        <v>59609.55</v>
      </c>
      <c r="J23" s="69">
        <f>(K23-I23)/I23</f>
        <v>2.399112222789802E-2</v>
      </c>
      <c r="K23" s="73">
        <f>G27</f>
        <v>61039.65</v>
      </c>
      <c r="L23" s="69">
        <f>(M23-K23)/K23</f>
        <v>2.3996697228768512E-2</v>
      </c>
      <c r="M23" s="73">
        <f>G29</f>
        <v>62504.4</v>
      </c>
      <c r="N23" s="73">
        <f>72174*1.05</f>
        <v>75782.7</v>
      </c>
      <c r="O23" s="62"/>
    </row>
    <row r="24" spans="3:15" ht="18" hidden="1" x14ac:dyDescent="0.2">
      <c r="C24" s="70"/>
      <c r="D24" s="71"/>
      <c r="E24" s="76"/>
      <c r="F24" s="73"/>
      <c r="G24" s="68">
        <f t="shared" si="0"/>
        <v>0</v>
      </c>
      <c r="H24" s="73"/>
      <c r="I24" s="72">
        <f>(I25-I23)/I23</f>
        <v>2.399112222789802E-2</v>
      </c>
      <c r="J24" s="73"/>
      <c r="K24" s="72">
        <f>(K25-K23)/K23</f>
        <v>2.3996697228768512E-2</v>
      </c>
      <c r="L24" s="73"/>
      <c r="M24" s="72">
        <f>(M25-M23)/M23</f>
        <v>2.4005510012095218E-2</v>
      </c>
      <c r="N24" s="72">
        <f>(N25-N23)/N23</f>
        <v>2.2279491229528756E-2</v>
      </c>
      <c r="O24" s="62"/>
    </row>
    <row r="25" spans="3:15" ht="18" x14ac:dyDescent="0.2">
      <c r="C25" s="66" t="s">
        <v>17</v>
      </c>
      <c r="D25" s="67">
        <v>9</v>
      </c>
      <c r="E25" s="74"/>
      <c r="F25" s="75"/>
      <c r="G25" s="68">
        <f>56771*1.05</f>
        <v>59609.55</v>
      </c>
      <c r="H25" s="75"/>
      <c r="I25" s="73">
        <f>G27</f>
        <v>61039.65</v>
      </c>
      <c r="J25" s="69">
        <f>(K25-I25)/I25</f>
        <v>2.3996697228768512E-2</v>
      </c>
      <c r="K25" s="73">
        <f>G29</f>
        <v>62504.4</v>
      </c>
      <c r="L25" s="69">
        <f>(M25-K25)/K25</f>
        <v>2.4005510012095218E-2</v>
      </c>
      <c r="M25" s="73">
        <f>G31</f>
        <v>64004.850000000006</v>
      </c>
      <c r="N25" s="73">
        <f>73782*1.05</f>
        <v>77471.100000000006</v>
      </c>
      <c r="O25" s="62"/>
    </row>
    <row r="26" spans="3:15" ht="18" hidden="1" x14ac:dyDescent="0.2">
      <c r="C26" s="70"/>
      <c r="D26" s="71"/>
      <c r="E26" s="76"/>
      <c r="F26" s="73"/>
      <c r="G26" s="68">
        <f t="shared" si="0"/>
        <v>0</v>
      </c>
      <c r="H26" s="73"/>
      <c r="I26" s="73">
        <f t="shared" ref="I26:I66" si="1">I24*(1+$C$5)</f>
        <v>2.4566909161367573E-2</v>
      </c>
      <c r="J26" s="73"/>
      <c r="K26" s="72">
        <f>(K27-K25)/K25</f>
        <v>2.4005510012095218E-2</v>
      </c>
      <c r="L26" s="73"/>
      <c r="M26" s="72">
        <f>(M27-M25)/M25</f>
        <v>2.4000524960217765E-2</v>
      </c>
      <c r="N26" s="72">
        <f>(N27-N25)/N25</f>
        <v>2.2308964246022103E-2</v>
      </c>
      <c r="O26" s="62"/>
    </row>
    <row r="27" spans="3:15" ht="18" x14ac:dyDescent="0.2">
      <c r="C27" s="66" t="s">
        <v>17</v>
      </c>
      <c r="D27" s="67">
        <v>10</v>
      </c>
      <c r="E27" s="74"/>
      <c r="F27" s="75"/>
      <c r="G27" s="68">
        <f>58133*1.05</f>
        <v>61039.65</v>
      </c>
      <c r="H27" s="75"/>
      <c r="I27" s="73">
        <f>G29</f>
        <v>62504.4</v>
      </c>
      <c r="J27" s="75"/>
      <c r="K27" s="73">
        <f>G31</f>
        <v>64004.850000000006</v>
      </c>
      <c r="L27" s="69">
        <f>(M27-K27)/K27</f>
        <v>2.4000524960217765E-2</v>
      </c>
      <c r="M27" s="73">
        <f>G33</f>
        <v>65541</v>
      </c>
      <c r="N27" s="73">
        <f>75428*1.05</f>
        <v>79199.400000000009</v>
      </c>
      <c r="O27" s="62"/>
    </row>
    <row r="28" spans="3:15" ht="18" hidden="1" x14ac:dyDescent="0.2">
      <c r="C28" s="70"/>
      <c r="D28" s="71"/>
      <c r="E28" s="76"/>
      <c r="F28" s="73"/>
      <c r="G28" s="68">
        <f t="shared" si="0"/>
        <v>0</v>
      </c>
      <c r="H28" s="73"/>
      <c r="I28" s="73">
        <f t="shared" si="1"/>
        <v>2.5156514981240396E-2</v>
      </c>
      <c r="J28" s="73"/>
      <c r="K28" s="72">
        <f>(K29-K27)/K27</f>
        <v>2.4000524960217765E-2</v>
      </c>
      <c r="L28" s="73"/>
      <c r="M28" s="72">
        <f>(M29-M27)/M27</f>
        <v>2.3998718359500293E-2</v>
      </c>
      <c r="N28" s="72">
        <f>(N29-N27)/N27</f>
        <v>2.2365699740149434E-2</v>
      </c>
      <c r="O28" s="62"/>
    </row>
    <row r="29" spans="3:15" ht="18" x14ac:dyDescent="0.2">
      <c r="C29" s="66" t="s">
        <v>17</v>
      </c>
      <c r="D29" s="67">
        <v>11</v>
      </c>
      <c r="E29" s="74"/>
      <c r="F29" s="75"/>
      <c r="G29" s="68">
        <f>59528*1.05</f>
        <v>62504.4</v>
      </c>
      <c r="H29" s="75"/>
      <c r="I29" s="73">
        <f>G31</f>
        <v>64004.850000000006</v>
      </c>
      <c r="J29" s="75"/>
      <c r="K29" s="73">
        <f>G33</f>
        <v>65541</v>
      </c>
      <c r="L29" s="69">
        <f>(M29-K29)/K29</f>
        <v>2.3998718359500293E-2</v>
      </c>
      <c r="M29" s="73">
        <f>G35</f>
        <v>67113.900000000009</v>
      </c>
      <c r="N29" s="73">
        <f>77115*1.05</f>
        <v>80970.75</v>
      </c>
      <c r="O29" s="62"/>
    </row>
    <row r="30" spans="3:15" ht="18" hidden="1" x14ac:dyDescent="0.2">
      <c r="C30" s="70"/>
      <c r="D30" s="71"/>
      <c r="E30" s="76"/>
      <c r="F30" s="73"/>
      <c r="G30" s="68">
        <f t="shared" si="0"/>
        <v>0</v>
      </c>
      <c r="H30" s="73"/>
      <c r="I30" s="73">
        <f t="shared" si="1"/>
        <v>2.5760271340790165E-2</v>
      </c>
      <c r="J30" s="73"/>
      <c r="K30" s="73">
        <f t="shared" ref="K30:K66" si="2">K28*(1+$C$5)</f>
        <v>2.4576537559262993E-2</v>
      </c>
      <c r="L30" s="73"/>
      <c r="M30" s="72">
        <f>(M31-M29)/M29</f>
        <v>2.3999499358553101E-2</v>
      </c>
      <c r="N30" s="72">
        <f>(N31-N29)/N29</f>
        <v>2.2408091810931834E-2</v>
      </c>
      <c r="O30" s="62"/>
    </row>
    <row r="31" spans="3:15" ht="18" x14ac:dyDescent="0.2">
      <c r="C31" s="66" t="s">
        <v>17</v>
      </c>
      <c r="D31" s="67">
        <v>12</v>
      </c>
      <c r="E31" s="74"/>
      <c r="F31" s="75"/>
      <c r="G31" s="68">
        <f>60957*1.05</f>
        <v>64004.850000000006</v>
      </c>
      <c r="H31" s="75"/>
      <c r="I31" s="73">
        <f>G33</f>
        <v>65541</v>
      </c>
      <c r="J31" s="75"/>
      <c r="K31" s="73">
        <f>G35</f>
        <v>67113.900000000009</v>
      </c>
      <c r="L31" s="75"/>
      <c r="M31" s="73">
        <f>G37</f>
        <v>68724.600000000006</v>
      </c>
      <c r="N31" s="73">
        <f>78843*1.05</f>
        <v>82785.150000000009</v>
      </c>
      <c r="O31" s="62"/>
    </row>
    <row r="32" spans="3:15" ht="18" hidden="1" x14ac:dyDescent="0.2">
      <c r="C32" s="70"/>
      <c r="D32" s="71"/>
      <c r="E32" s="76"/>
      <c r="F32" s="73"/>
      <c r="G32" s="68">
        <f t="shared" si="0"/>
        <v>0</v>
      </c>
      <c r="H32" s="73"/>
      <c r="I32" s="73">
        <f t="shared" si="1"/>
        <v>2.637851785296913E-2</v>
      </c>
      <c r="J32" s="73"/>
      <c r="K32" s="73">
        <f t="shared" si="2"/>
        <v>2.5166374460685304E-2</v>
      </c>
      <c r="L32" s="73"/>
      <c r="M32" s="72">
        <f>(M33-M31)/M31</f>
        <v>2.4002322312534418E-2</v>
      </c>
      <c r="N32" s="72">
        <f>(N33-N31)/N31</f>
        <v>2.2424311606610531E-2</v>
      </c>
      <c r="O32" s="62"/>
    </row>
    <row r="33" spans="2:15" ht="18" x14ac:dyDescent="0.2">
      <c r="C33" s="66" t="s">
        <v>17</v>
      </c>
      <c r="D33" s="67">
        <v>13</v>
      </c>
      <c r="E33" s="74"/>
      <c r="F33" s="75"/>
      <c r="G33" s="68">
        <f>62420*1.05</f>
        <v>65541</v>
      </c>
      <c r="H33" s="75"/>
      <c r="I33" s="73">
        <f>G35</f>
        <v>67113.900000000009</v>
      </c>
      <c r="J33" s="75"/>
      <c r="K33" s="73">
        <f>G37</f>
        <v>68724.600000000006</v>
      </c>
      <c r="L33" s="75"/>
      <c r="M33" s="73">
        <f>G39</f>
        <v>70374.150000000009</v>
      </c>
      <c r="N33" s="73">
        <f>80611*1.05</f>
        <v>84641.55</v>
      </c>
      <c r="O33" s="62"/>
    </row>
    <row r="34" spans="2:15" ht="18" hidden="1" x14ac:dyDescent="0.2">
      <c r="C34" s="70"/>
      <c r="D34" s="71"/>
      <c r="E34" s="77"/>
      <c r="F34" s="78"/>
      <c r="G34" s="68">
        <f t="shared" si="0"/>
        <v>0</v>
      </c>
      <c r="H34" s="73"/>
      <c r="I34" s="73">
        <f t="shared" si="1"/>
        <v>2.7011602281440391E-2</v>
      </c>
      <c r="J34" s="73"/>
      <c r="K34" s="73">
        <f t="shared" si="2"/>
        <v>2.5770367447741752E-2</v>
      </c>
      <c r="L34" s="73"/>
      <c r="M34" s="72">
        <f>(M35-M33)/M33</f>
        <v>2.4006684272563104E-2</v>
      </c>
      <c r="N34" s="72">
        <f>(N35-N33)/N33</f>
        <v>2.2465916562255807E-2</v>
      </c>
      <c r="O34" s="62"/>
    </row>
    <row r="35" spans="2:15" ht="18" x14ac:dyDescent="0.2">
      <c r="C35" s="66" t="s">
        <v>17</v>
      </c>
      <c r="D35" s="67">
        <v>14</v>
      </c>
      <c r="E35" s="74"/>
      <c r="F35" s="75"/>
      <c r="G35" s="68">
        <f>63918*1.05</f>
        <v>67113.900000000009</v>
      </c>
      <c r="H35" s="75"/>
      <c r="I35" s="73">
        <f>G37</f>
        <v>68724.600000000006</v>
      </c>
      <c r="J35" s="75"/>
      <c r="K35" s="73">
        <f>G39</f>
        <v>70374.150000000009</v>
      </c>
      <c r="L35" s="75"/>
      <c r="M35" s="73">
        <f>G41</f>
        <v>72063.600000000006</v>
      </c>
      <c r="N35" s="73">
        <f>82422*1.05</f>
        <v>86543.1</v>
      </c>
      <c r="O35" s="62"/>
    </row>
    <row r="36" spans="2:15" ht="18" hidden="1" x14ac:dyDescent="0.2">
      <c r="C36" s="70"/>
      <c r="D36" s="71"/>
      <c r="E36" s="77"/>
      <c r="F36" s="78"/>
      <c r="G36" s="68">
        <f t="shared" si="0"/>
        <v>0</v>
      </c>
      <c r="H36" s="73"/>
      <c r="I36" s="73">
        <f t="shared" si="1"/>
        <v>2.765988073619496E-2</v>
      </c>
      <c r="J36" s="73"/>
      <c r="K36" s="73">
        <f t="shared" si="2"/>
        <v>2.6388856266487556E-2</v>
      </c>
      <c r="L36" s="73"/>
      <c r="M36" s="72">
        <f>(M37-M35)/M35</f>
        <v>2.399755216225655E-2</v>
      </c>
      <c r="N36" s="72">
        <f>(N37-N35)/N35</f>
        <v>2.2518259687947424E-2</v>
      </c>
      <c r="O36" s="62"/>
    </row>
    <row r="37" spans="2:15" ht="18" x14ac:dyDescent="0.2">
      <c r="C37" s="66" t="s">
        <v>17</v>
      </c>
      <c r="D37" s="67">
        <v>15</v>
      </c>
      <c r="E37" s="74"/>
      <c r="F37" s="75"/>
      <c r="G37" s="68">
        <f>65452*1.05</f>
        <v>68724.600000000006</v>
      </c>
      <c r="H37" s="75"/>
      <c r="I37" s="73">
        <f>G39</f>
        <v>70374.150000000009</v>
      </c>
      <c r="J37" s="75"/>
      <c r="K37" s="73">
        <f>G41</f>
        <v>72063.600000000006</v>
      </c>
      <c r="L37" s="75"/>
      <c r="M37" s="73">
        <f>G43</f>
        <v>73792.95</v>
      </c>
      <c r="N37" s="73">
        <f>84278*1.05</f>
        <v>88491.900000000009</v>
      </c>
      <c r="O37" s="62"/>
    </row>
    <row r="38" spans="2:15" ht="18" hidden="1" x14ac:dyDescent="0.2">
      <c r="C38" s="70"/>
      <c r="D38" s="71"/>
      <c r="E38" s="77"/>
      <c r="F38" s="78"/>
      <c r="G38" s="68">
        <f t="shared" si="0"/>
        <v>0</v>
      </c>
      <c r="H38" s="73"/>
      <c r="I38" s="73">
        <f t="shared" si="1"/>
        <v>2.8323717873863639E-2</v>
      </c>
      <c r="J38" s="73"/>
      <c r="K38" s="73">
        <f t="shared" si="2"/>
        <v>2.7022188816883258E-2</v>
      </c>
      <c r="L38" s="73"/>
      <c r="M38" s="72">
        <f>(M39-M37)/M37</f>
        <v>2.0148266196161054E-2</v>
      </c>
      <c r="N38" s="72">
        <f>(N39-N37)/N37</f>
        <v>2.2520705284890412E-2</v>
      </c>
      <c r="O38" s="62"/>
    </row>
    <row r="39" spans="2:15" ht="18" x14ac:dyDescent="0.2">
      <c r="C39" s="66" t="s">
        <v>17</v>
      </c>
      <c r="D39" s="67">
        <v>16</v>
      </c>
      <c r="E39" s="74"/>
      <c r="F39" s="75"/>
      <c r="G39" s="68">
        <f>67023*1.05</f>
        <v>70374.150000000009</v>
      </c>
      <c r="H39" s="75"/>
      <c r="I39" s="73">
        <f>G41</f>
        <v>72063.600000000006</v>
      </c>
      <c r="J39" s="75"/>
      <c r="K39" s="73">
        <f>G43</f>
        <v>73792.95</v>
      </c>
      <c r="L39" s="75"/>
      <c r="M39" s="73">
        <f>G45</f>
        <v>75279.75</v>
      </c>
      <c r="N39" s="73">
        <f>86176*1.05</f>
        <v>90484.800000000003</v>
      </c>
      <c r="O39" s="62"/>
    </row>
    <row r="40" spans="2:15" ht="18" hidden="1" x14ac:dyDescent="0.2">
      <c r="C40" s="70"/>
      <c r="D40" s="71"/>
      <c r="E40" s="77"/>
      <c r="F40" s="78"/>
      <c r="G40" s="68">
        <f t="shared" si="0"/>
        <v>0</v>
      </c>
      <c r="H40" s="73"/>
      <c r="I40" s="73">
        <f t="shared" si="1"/>
        <v>2.9003487102836366E-2</v>
      </c>
      <c r="J40" s="73"/>
      <c r="K40" s="73">
        <f t="shared" si="2"/>
        <v>2.7670721348488456E-2</v>
      </c>
      <c r="L40" s="73"/>
      <c r="M40" s="72">
        <f>(M41-M39)/M39</f>
        <v>2.7854104191366282E-2</v>
      </c>
      <c r="N40" s="72">
        <f>(N41-N39)/N39</f>
        <v>2.2570089119940587E-2</v>
      </c>
      <c r="O40" s="62"/>
    </row>
    <row r="41" spans="2:15" ht="18" x14ac:dyDescent="0.2">
      <c r="C41" s="66" t="s">
        <v>17</v>
      </c>
      <c r="D41" s="67">
        <v>17</v>
      </c>
      <c r="E41" s="74"/>
      <c r="F41" s="75"/>
      <c r="G41" s="68">
        <f>68632*1.05</f>
        <v>72063.600000000006</v>
      </c>
      <c r="H41" s="75"/>
      <c r="I41" s="73">
        <f>G43</f>
        <v>73792.95</v>
      </c>
      <c r="J41" s="75"/>
      <c r="K41" s="73">
        <f>G45</f>
        <v>75279.75</v>
      </c>
      <c r="L41" s="75"/>
      <c r="M41" s="73">
        <f>G47</f>
        <v>77376.600000000006</v>
      </c>
      <c r="N41" s="73">
        <f>88121*1.05</f>
        <v>92527.05</v>
      </c>
      <c r="O41" s="62"/>
    </row>
    <row r="42" spans="2:15" ht="18" hidden="1" x14ac:dyDescent="0.2">
      <c r="C42" s="70"/>
      <c r="D42" s="71"/>
      <c r="E42" s="77"/>
      <c r="F42" s="78"/>
      <c r="G42" s="68">
        <f t="shared" si="0"/>
        <v>0</v>
      </c>
      <c r="H42" s="73"/>
      <c r="I42" s="73">
        <f t="shared" si="1"/>
        <v>2.9699570793304438E-2</v>
      </c>
      <c r="J42" s="73"/>
      <c r="K42" s="73">
        <f t="shared" si="2"/>
        <v>2.833481866085218E-2</v>
      </c>
      <c r="L42" s="73"/>
      <c r="M42" s="72">
        <f>(M43-M41)/M41</f>
        <v>2.4018889431688648E-2</v>
      </c>
      <c r="N42" s="72">
        <f>(N43-N41)/N41</f>
        <v>2.2605281374473797E-2</v>
      </c>
      <c r="O42" s="62"/>
    </row>
    <row r="43" spans="2:15" ht="18" x14ac:dyDescent="0.2">
      <c r="B43" s="44"/>
      <c r="C43" s="66" t="s">
        <v>17</v>
      </c>
      <c r="D43" s="67">
        <v>18</v>
      </c>
      <c r="E43" s="74"/>
      <c r="F43" s="75"/>
      <c r="G43" s="68">
        <f>70279*1.05</f>
        <v>73792.95</v>
      </c>
      <c r="H43" s="75"/>
      <c r="I43" s="73">
        <f>G45</f>
        <v>75279.75</v>
      </c>
      <c r="J43" s="75"/>
      <c r="K43" s="73">
        <f>G47</f>
        <v>77376.600000000006</v>
      </c>
      <c r="L43" s="75"/>
      <c r="M43" s="73">
        <f>G49</f>
        <v>79235.100000000006</v>
      </c>
      <c r="N43" s="73">
        <f>90113*1.05</f>
        <v>94618.650000000009</v>
      </c>
      <c r="O43" s="62"/>
    </row>
    <row r="44" spans="2:15" ht="18" hidden="1" x14ac:dyDescent="0.2">
      <c r="B44" s="44"/>
      <c r="C44" s="70"/>
      <c r="D44" s="71"/>
      <c r="E44" s="77"/>
      <c r="F44" s="78"/>
      <c r="G44" s="68">
        <f t="shared" si="0"/>
        <v>0</v>
      </c>
      <c r="H44" s="73"/>
      <c r="I44" s="73">
        <f t="shared" si="1"/>
        <v>3.0412360492343745E-2</v>
      </c>
      <c r="J44" s="73"/>
      <c r="K44" s="73">
        <f t="shared" si="2"/>
        <v>2.9014854308712631E-2</v>
      </c>
      <c r="L44" s="73"/>
      <c r="M44" s="72">
        <f>(M45-M43)/M43</f>
        <v>2.3998833850149778E-2</v>
      </c>
      <c r="N44" s="72">
        <f>(N45-N43)/N43</f>
        <v>2.2616048738805659E-2</v>
      </c>
      <c r="O44" s="62"/>
    </row>
    <row r="45" spans="2:15" ht="18" x14ac:dyDescent="0.2">
      <c r="B45" s="44"/>
      <c r="C45" s="66" t="s">
        <v>17</v>
      </c>
      <c r="D45" s="67">
        <v>19</v>
      </c>
      <c r="E45" s="74"/>
      <c r="F45" s="75"/>
      <c r="G45" s="68">
        <f>71695*1.05</f>
        <v>75279.75</v>
      </c>
      <c r="H45" s="75"/>
      <c r="I45" s="73">
        <f>G47</f>
        <v>77376.600000000006</v>
      </c>
      <c r="J45" s="75"/>
      <c r="K45" s="73">
        <f>G49</f>
        <v>79235.100000000006</v>
      </c>
      <c r="L45" s="75"/>
      <c r="M45" s="73">
        <f>G51</f>
        <v>81136.650000000009</v>
      </c>
      <c r="N45" s="73">
        <f>92151*1.05</f>
        <v>96758.55</v>
      </c>
      <c r="O45" s="62"/>
    </row>
    <row r="46" spans="2:15" ht="18" hidden="1" x14ac:dyDescent="0.2">
      <c r="B46" s="44"/>
      <c r="C46" s="70"/>
      <c r="D46" s="71"/>
      <c r="E46" s="79"/>
      <c r="F46" s="80"/>
      <c r="G46" s="68">
        <f t="shared" si="0"/>
        <v>0</v>
      </c>
      <c r="H46" s="73"/>
      <c r="I46" s="73">
        <f t="shared" si="1"/>
        <v>3.1142257144159996E-2</v>
      </c>
      <c r="J46" s="73"/>
      <c r="K46" s="73">
        <f t="shared" si="2"/>
        <v>2.9711210812121736E-2</v>
      </c>
      <c r="L46" s="73"/>
      <c r="M46" s="72">
        <f>(M47-M45)/M45</f>
        <v>2.400579762659661E-2</v>
      </c>
      <c r="N46" s="72">
        <f>(N47-N45)/N45</f>
        <v>2.2658462740501942E-2</v>
      </c>
      <c r="O46" s="62"/>
    </row>
    <row r="47" spans="2:15" ht="18" x14ac:dyDescent="0.2">
      <c r="B47" s="44"/>
      <c r="C47" s="66" t="s">
        <v>17</v>
      </c>
      <c r="D47" s="67">
        <v>20</v>
      </c>
      <c r="E47" s="74"/>
      <c r="F47" s="75"/>
      <c r="G47" s="68">
        <f>73692*1.05</f>
        <v>77376.600000000006</v>
      </c>
      <c r="H47" s="75"/>
      <c r="I47" s="73">
        <f>G49</f>
        <v>79235.100000000006</v>
      </c>
      <c r="J47" s="75"/>
      <c r="K47" s="73">
        <f>G51</f>
        <v>81136.650000000009</v>
      </c>
      <c r="L47" s="75"/>
      <c r="M47" s="73">
        <f>G53</f>
        <v>83084.400000000009</v>
      </c>
      <c r="N47" s="73">
        <f>94239*1.05</f>
        <v>98950.95</v>
      </c>
      <c r="O47" s="62"/>
    </row>
    <row r="48" spans="2:15" ht="18" hidden="1" x14ac:dyDescent="0.2">
      <c r="B48" s="44"/>
      <c r="C48" s="70"/>
      <c r="D48" s="71"/>
      <c r="E48" s="76"/>
      <c r="F48" s="73"/>
      <c r="G48" s="68">
        <f t="shared" ref="G48:G66" si="3">G46*(1+$C$5)</f>
        <v>0</v>
      </c>
      <c r="H48" s="73"/>
      <c r="I48" s="73">
        <f t="shared" si="1"/>
        <v>3.1889671315619837E-2</v>
      </c>
      <c r="J48" s="73"/>
      <c r="K48" s="73">
        <f t="shared" si="2"/>
        <v>3.0424279871612659E-2</v>
      </c>
      <c r="L48" s="73"/>
      <c r="M48" s="72">
        <f>(M49-M47)/M47</f>
        <v>2.3986452330401302E-2</v>
      </c>
      <c r="N48" s="72">
        <f>(N49-N47)/N47</f>
        <v>2.268699795201571E-2</v>
      </c>
      <c r="O48" s="62"/>
    </row>
    <row r="49" spans="2:15" ht="18" x14ac:dyDescent="0.2">
      <c r="B49" s="44"/>
      <c r="C49" s="66" t="s">
        <v>17</v>
      </c>
      <c r="D49" s="67">
        <v>21</v>
      </c>
      <c r="E49" s="74"/>
      <c r="F49" s="75"/>
      <c r="G49" s="68">
        <f>75462*1.05</f>
        <v>79235.100000000006</v>
      </c>
      <c r="H49" s="75"/>
      <c r="I49" s="73">
        <f>G51</f>
        <v>81136.650000000009</v>
      </c>
      <c r="J49" s="75"/>
      <c r="K49" s="73">
        <f>G53</f>
        <v>83084.400000000009</v>
      </c>
      <c r="L49" s="75"/>
      <c r="M49" s="73">
        <f>G55</f>
        <v>85077.3</v>
      </c>
      <c r="N49" s="73">
        <f>96377*1.05</f>
        <v>101195.85</v>
      </c>
      <c r="O49" s="62"/>
    </row>
    <row r="50" spans="2:15" ht="18.75" hidden="1" x14ac:dyDescent="0.2">
      <c r="B50" s="44"/>
      <c r="C50" s="81"/>
      <c r="D50" s="82"/>
      <c r="E50" s="83"/>
      <c r="F50" s="83"/>
      <c r="G50" s="68">
        <f t="shared" si="3"/>
        <v>0</v>
      </c>
      <c r="H50" s="83"/>
      <c r="I50" s="73">
        <f t="shared" si="1"/>
        <v>3.2655023427194715E-2</v>
      </c>
      <c r="J50" s="83"/>
      <c r="K50" s="73">
        <f t="shared" si="2"/>
        <v>3.1154462588531363E-2</v>
      </c>
      <c r="L50" s="83"/>
      <c r="M50" s="72">
        <f>(M51-M49)/M49</f>
        <v>2.4004640485769998E-2</v>
      </c>
      <c r="N50" s="72">
        <f>(N51-N49)/N49</f>
        <v>2.272326384925864E-2</v>
      </c>
      <c r="O50" s="62"/>
    </row>
    <row r="51" spans="2:15" ht="18" x14ac:dyDescent="0.2">
      <c r="B51" s="44"/>
      <c r="C51" s="66" t="s">
        <v>17</v>
      </c>
      <c r="D51" s="67">
        <v>22</v>
      </c>
      <c r="E51" s="74"/>
      <c r="F51" s="75"/>
      <c r="G51" s="68">
        <f>77273*1.05</f>
        <v>81136.650000000009</v>
      </c>
      <c r="H51" s="75"/>
      <c r="I51" s="73">
        <f>G53</f>
        <v>83084.400000000009</v>
      </c>
      <c r="J51" s="75"/>
      <c r="K51" s="73">
        <f>G55</f>
        <v>85077.3</v>
      </c>
      <c r="L51" s="75"/>
      <c r="M51" s="73">
        <f>G57</f>
        <v>87119.55</v>
      </c>
      <c r="N51" s="73">
        <f>98567*1.05</f>
        <v>103495.35</v>
      </c>
      <c r="O51" s="62"/>
    </row>
    <row r="52" spans="2:15" ht="18.75" hidden="1" x14ac:dyDescent="0.2">
      <c r="B52" s="44"/>
      <c r="C52" s="81"/>
      <c r="D52" s="82"/>
      <c r="E52" s="83"/>
      <c r="F52" s="83"/>
      <c r="G52" s="68">
        <f t="shared" si="3"/>
        <v>0</v>
      </c>
      <c r="H52" s="83"/>
      <c r="I52" s="73">
        <f t="shared" si="1"/>
        <v>3.3438743989447392E-2</v>
      </c>
      <c r="J52" s="83"/>
      <c r="K52" s="73">
        <f t="shared" si="2"/>
        <v>3.1902169690656117E-2</v>
      </c>
      <c r="L52" s="83"/>
      <c r="M52" s="72">
        <f>(M53-M51)/M51</f>
        <v>2.4008388473081021E-2</v>
      </c>
      <c r="N52" s="72">
        <f>(N53-N51)/N51</f>
        <v>2.27358040723569E-2</v>
      </c>
      <c r="O52" s="62"/>
    </row>
    <row r="53" spans="2:15" ht="18" x14ac:dyDescent="0.2">
      <c r="B53" s="50"/>
      <c r="C53" s="66" t="s">
        <v>17</v>
      </c>
      <c r="D53" s="67">
        <v>23</v>
      </c>
      <c r="E53" s="74"/>
      <c r="F53" s="75"/>
      <c r="G53" s="68">
        <f>79128*1.05</f>
        <v>83084.400000000009</v>
      </c>
      <c r="H53" s="75"/>
      <c r="I53" s="73">
        <f>G55</f>
        <v>85077.3</v>
      </c>
      <c r="J53" s="75"/>
      <c r="K53" s="73">
        <f>G57</f>
        <v>87119.55</v>
      </c>
      <c r="L53" s="75"/>
      <c r="M53" s="73">
        <f>G59</f>
        <v>89211.150000000009</v>
      </c>
      <c r="N53" s="73">
        <f>100808*1.05</f>
        <v>105848.40000000001</v>
      </c>
      <c r="O53" s="62"/>
    </row>
    <row r="54" spans="2:15" ht="18.75" hidden="1" x14ac:dyDescent="0.2">
      <c r="B54" s="50"/>
      <c r="C54" s="81"/>
      <c r="D54" s="82"/>
      <c r="E54" s="83"/>
      <c r="F54" s="83"/>
      <c r="G54" s="68">
        <f t="shared" si="3"/>
        <v>0</v>
      </c>
      <c r="H54" s="83"/>
      <c r="I54" s="73">
        <f t="shared" si="1"/>
        <v>3.4241273845194133E-2</v>
      </c>
      <c r="J54" s="83"/>
      <c r="K54" s="73">
        <f t="shared" si="2"/>
        <v>3.2667821763231866E-2</v>
      </c>
      <c r="L54" s="83"/>
      <c r="M54" s="72">
        <f>(M55-M53)/M53</f>
        <v>2.3986911949907538E-2</v>
      </c>
      <c r="N54" s="72">
        <f>(N55-N53)/N53</f>
        <v>2.2775970161098349E-2</v>
      </c>
      <c r="O54" s="62"/>
    </row>
    <row r="55" spans="2:15" ht="18" x14ac:dyDescent="0.2">
      <c r="B55" s="50"/>
      <c r="C55" s="66" t="s">
        <v>17</v>
      </c>
      <c r="D55" s="67">
        <v>24</v>
      </c>
      <c r="E55" s="74"/>
      <c r="F55" s="75"/>
      <c r="G55" s="68">
        <f>81026*1.05</f>
        <v>85077.3</v>
      </c>
      <c r="H55" s="75"/>
      <c r="I55" s="73">
        <f>G57</f>
        <v>87119.55</v>
      </c>
      <c r="J55" s="75"/>
      <c r="K55" s="73">
        <f>G59</f>
        <v>89211.150000000009</v>
      </c>
      <c r="L55" s="75"/>
      <c r="M55" s="73">
        <f>G61</f>
        <v>91351.05</v>
      </c>
      <c r="N55" s="73">
        <f>103104*1.05</f>
        <v>108259.20000000001</v>
      </c>
      <c r="O55" s="62"/>
    </row>
    <row r="56" spans="2:15" ht="15" hidden="1" x14ac:dyDescent="0.2">
      <c r="B56" s="50"/>
      <c r="C56" s="84"/>
      <c r="D56" s="85"/>
      <c r="E56" s="86"/>
      <c r="F56" s="86"/>
      <c r="G56" s="68">
        <f t="shared" si="3"/>
        <v>0</v>
      </c>
      <c r="H56" s="86"/>
      <c r="I56" s="73">
        <f t="shared" si="1"/>
        <v>3.5063064417478793E-2</v>
      </c>
      <c r="J56" s="86"/>
      <c r="K56" s="73">
        <f t="shared" si="2"/>
        <v>3.3451849485549433E-2</v>
      </c>
      <c r="L56" s="86"/>
      <c r="M56" s="73">
        <f t="shared" ref="M56:N66" si="4">M54*(1+$C$5)</f>
        <v>2.4562597836705318E-2</v>
      </c>
      <c r="N56" s="73">
        <f t="shared" si="4"/>
        <v>2.332259344496471E-2</v>
      </c>
      <c r="O56" s="62"/>
    </row>
    <row r="57" spans="2:15" ht="18" x14ac:dyDescent="0.2">
      <c r="B57" s="50"/>
      <c r="C57" s="66" t="s">
        <v>17</v>
      </c>
      <c r="D57" s="67">
        <v>25</v>
      </c>
      <c r="E57" s="67"/>
      <c r="F57" s="67"/>
      <c r="G57" s="68">
        <f>82971*1.05</f>
        <v>87119.55</v>
      </c>
      <c r="H57" s="67"/>
      <c r="I57" s="73">
        <f>G59</f>
        <v>89211.150000000009</v>
      </c>
      <c r="J57" s="67"/>
      <c r="K57" s="73">
        <f>G61</f>
        <v>91351.05</v>
      </c>
      <c r="L57" s="67"/>
      <c r="M57" s="73">
        <f>G63</f>
        <v>93543.45</v>
      </c>
      <c r="N57" s="73">
        <f>105455*1.05</f>
        <v>110727.75</v>
      </c>
      <c r="O57" s="62"/>
    </row>
    <row r="58" spans="2:15" ht="15" hidden="1" x14ac:dyDescent="0.2">
      <c r="B58" s="50"/>
      <c r="C58" s="84"/>
      <c r="D58" s="85"/>
      <c r="E58" s="86"/>
      <c r="F58" s="86"/>
      <c r="G58" s="68">
        <f t="shared" si="3"/>
        <v>0</v>
      </c>
      <c r="H58" s="86"/>
      <c r="I58" s="73">
        <f t="shared" si="1"/>
        <v>3.5904577963498281E-2</v>
      </c>
      <c r="J58" s="86"/>
      <c r="K58" s="73">
        <f t="shared" si="2"/>
        <v>3.4254693873202617E-2</v>
      </c>
      <c r="L58" s="86"/>
      <c r="M58" s="73">
        <f t="shared" si="4"/>
        <v>2.5152100184786245E-2</v>
      </c>
      <c r="N58" s="73">
        <f t="shared" si="4"/>
        <v>2.3882335687643863E-2</v>
      </c>
      <c r="O58" s="62"/>
    </row>
    <row r="59" spans="2:15" ht="18" x14ac:dyDescent="0.2">
      <c r="B59" s="50"/>
      <c r="C59" s="66" t="s">
        <v>17</v>
      </c>
      <c r="D59" s="67">
        <v>26</v>
      </c>
      <c r="E59" s="67"/>
      <c r="F59" s="67"/>
      <c r="G59" s="68">
        <f>84963*1.05</f>
        <v>89211.150000000009</v>
      </c>
      <c r="H59" s="67"/>
      <c r="I59" s="73">
        <f>G61</f>
        <v>91351.05</v>
      </c>
      <c r="J59" s="67"/>
      <c r="K59" s="73">
        <f>G63</f>
        <v>93543.45</v>
      </c>
      <c r="L59" s="67"/>
      <c r="M59" s="73">
        <f>G65</f>
        <v>95788.35</v>
      </c>
      <c r="N59" s="73"/>
      <c r="O59" s="62"/>
    </row>
    <row r="60" spans="2:15" ht="15" hidden="1" x14ac:dyDescent="0.2">
      <c r="B60" s="50"/>
      <c r="C60" s="87"/>
      <c r="D60" s="85"/>
      <c r="E60" s="86"/>
      <c r="F60" s="86"/>
      <c r="G60" s="68">
        <f t="shared" si="3"/>
        <v>0</v>
      </c>
      <c r="H60" s="86"/>
      <c r="I60" s="73">
        <f t="shared" si="1"/>
        <v>3.6766287834622241E-2</v>
      </c>
      <c r="J60" s="86"/>
      <c r="K60" s="73">
        <f t="shared" si="2"/>
        <v>3.5076806526159479E-2</v>
      </c>
      <c r="L60" s="86"/>
      <c r="M60" s="73">
        <f t="shared" si="4"/>
        <v>2.5755750589221117E-2</v>
      </c>
      <c r="N60" s="73">
        <f t="shared" si="4"/>
        <v>2.4455511744147316E-2</v>
      </c>
      <c r="O60" s="62"/>
    </row>
    <row r="61" spans="2:15" ht="18" x14ac:dyDescent="0.2">
      <c r="B61" s="50"/>
      <c r="C61" s="66" t="s">
        <v>17</v>
      </c>
      <c r="D61" s="67">
        <v>27</v>
      </c>
      <c r="E61" s="67"/>
      <c r="F61" s="67"/>
      <c r="G61" s="68">
        <f>87001*1.05</f>
        <v>91351.05</v>
      </c>
      <c r="H61" s="67"/>
      <c r="I61" s="73">
        <f>G63</f>
        <v>93543.45</v>
      </c>
      <c r="J61" s="67"/>
      <c r="K61" s="73">
        <f>G65</f>
        <v>95788.35</v>
      </c>
      <c r="L61" s="67"/>
      <c r="M61" s="73">
        <f>G67</f>
        <v>98087.85</v>
      </c>
      <c r="N61" s="73"/>
      <c r="O61" s="62"/>
    </row>
    <row r="62" spans="2:15" ht="15" hidden="1" x14ac:dyDescent="0.2">
      <c r="B62" s="50"/>
      <c r="C62" s="87"/>
      <c r="D62" s="88"/>
      <c r="E62" s="87"/>
      <c r="F62" s="87"/>
      <c r="G62" s="68">
        <f t="shared" si="3"/>
        <v>0</v>
      </c>
      <c r="H62" s="87"/>
      <c r="I62" s="73">
        <f t="shared" si="1"/>
        <v>3.7648678742653173E-2</v>
      </c>
      <c r="J62" s="87"/>
      <c r="K62" s="73">
        <f t="shared" si="2"/>
        <v>3.5918649882787305E-2</v>
      </c>
      <c r="L62" s="87"/>
      <c r="M62" s="73">
        <f t="shared" si="4"/>
        <v>2.6373888603362424E-2</v>
      </c>
      <c r="N62" s="73">
        <f t="shared" si="4"/>
        <v>2.5042444026006853E-2</v>
      </c>
      <c r="O62" s="62"/>
    </row>
    <row r="63" spans="2:15" ht="18" x14ac:dyDescent="0.2">
      <c r="B63" s="50"/>
      <c r="C63" s="66" t="s">
        <v>17</v>
      </c>
      <c r="D63" s="67">
        <v>28</v>
      </c>
      <c r="E63" s="67"/>
      <c r="F63" s="67"/>
      <c r="G63" s="68">
        <f>89089*1.05</f>
        <v>93543.45</v>
      </c>
      <c r="H63" s="67"/>
      <c r="I63" s="73">
        <f>G65</f>
        <v>95788.35</v>
      </c>
      <c r="J63" s="67"/>
      <c r="K63" s="73">
        <f>G67</f>
        <v>98087.85</v>
      </c>
      <c r="L63" s="67"/>
      <c r="M63" s="73"/>
      <c r="N63" s="73"/>
      <c r="O63" s="62"/>
    </row>
    <row r="64" spans="2:15" ht="15" hidden="1" x14ac:dyDescent="0.2">
      <c r="B64" s="50" t="s">
        <v>18</v>
      </c>
      <c r="C64" s="87"/>
      <c r="D64" s="88"/>
      <c r="E64" s="87"/>
      <c r="F64" s="87"/>
      <c r="G64" s="68">
        <f t="shared" si="3"/>
        <v>0</v>
      </c>
      <c r="H64" s="87"/>
      <c r="I64" s="73">
        <f t="shared" si="1"/>
        <v>3.8552247032476852E-2</v>
      </c>
      <c r="J64" s="87"/>
      <c r="K64" s="73">
        <f t="shared" si="2"/>
        <v>3.67806974799742E-2</v>
      </c>
      <c r="L64" s="87"/>
      <c r="M64" s="73">
        <f t="shared" si="4"/>
        <v>2.7006861929843123E-2</v>
      </c>
      <c r="N64" s="73">
        <f t="shared" si="4"/>
        <v>2.564346268263102E-2</v>
      </c>
      <c r="O64" s="62"/>
    </row>
    <row r="65" spans="3:15" ht="18" x14ac:dyDescent="0.2">
      <c r="C65" s="66" t="s">
        <v>17</v>
      </c>
      <c r="D65" s="67">
        <v>29</v>
      </c>
      <c r="E65" s="67"/>
      <c r="F65" s="67"/>
      <c r="G65" s="68">
        <f>91227*1.05</f>
        <v>95788.35</v>
      </c>
      <c r="H65" s="67"/>
      <c r="I65" s="73">
        <f>G67</f>
        <v>98087.85</v>
      </c>
      <c r="J65" s="67"/>
      <c r="K65" s="73"/>
      <c r="L65" s="67"/>
      <c r="M65" s="73"/>
      <c r="N65" s="73"/>
      <c r="O65" s="62"/>
    </row>
    <row r="66" spans="3:15" ht="15" hidden="1" x14ac:dyDescent="0.25">
      <c r="C66" s="89"/>
      <c r="D66" s="90"/>
      <c r="E66" s="89"/>
      <c r="F66" s="89"/>
      <c r="G66" s="68">
        <f t="shared" si="3"/>
        <v>0</v>
      </c>
      <c r="H66" s="89"/>
      <c r="I66" s="73">
        <f t="shared" si="1"/>
        <v>3.9477500961256295E-2</v>
      </c>
      <c r="J66" s="89"/>
      <c r="K66" s="73">
        <f t="shared" si="2"/>
        <v>3.7663434219493579E-2</v>
      </c>
      <c r="L66" s="89"/>
      <c r="M66" s="73">
        <f t="shared" si="4"/>
        <v>2.7655026616159359E-2</v>
      </c>
      <c r="N66" s="73">
        <f t="shared" si="4"/>
        <v>2.6258905787014165E-2</v>
      </c>
      <c r="O66" s="62"/>
    </row>
    <row r="67" spans="3:15" ht="18" x14ac:dyDescent="0.2">
      <c r="C67" s="66" t="s">
        <v>17</v>
      </c>
      <c r="D67" s="67">
        <v>30</v>
      </c>
      <c r="E67" s="67"/>
      <c r="F67" s="67"/>
      <c r="G67" s="68">
        <f>93417*1.05</f>
        <v>98087.85</v>
      </c>
      <c r="H67" s="67"/>
      <c r="I67" s="73"/>
      <c r="J67" s="67"/>
      <c r="K67" s="73"/>
      <c r="L67" s="67"/>
      <c r="M67" s="73"/>
      <c r="N67" s="73"/>
      <c r="O67" s="62"/>
    </row>
    <row r="68" spans="3:15" ht="15" x14ac:dyDescent="0.25">
      <c r="C68" s="89"/>
      <c r="D68" s="90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62"/>
    </row>
    <row r="69" spans="3:15" ht="15" x14ac:dyDescent="0.25">
      <c r="C69" s="57"/>
      <c r="D69" s="58"/>
      <c r="E69" s="57"/>
      <c r="F69" s="57"/>
      <c r="G69" s="57"/>
      <c r="H69" s="57"/>
      <c r="I69" s="57"/>
      <c r="J69" s="57"/>
      <c r="K69" s="57"/>
      <c r="L69" s="57"/>
      <c r="M69" s="57"/>
      <c r="N69" s="57"/>
    </row>
    <row r="70" spans="3:15" x14ac:dyDescent="0.2">
      <c r="C70" t="s">
        <v>21</v>
      </c>
    </row>
    <row r="71" spans="3:15" x14ac:dyDescent="0.2">
      <c r="C71" t="s">
        <v>22</v>
      </c>
    </row>
  </sheetData>
  <mergeCells count="6">
    <mergeCell ref="N5:N7"/>
    <mergeCell ref="E5:E7"/>
    <mergeCell ref="G5:G7"/>
    <mergeCell ref="I5:I7"/>
    <mergeCell ref="K5:K7"/>
    <mergeCell ref="M5:M7"/>
  </mergeCells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</vt:lpstr>
      <vt:lpstr>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</dc:creator>
  <cp:lastModifiedBy>Cynthia Ramirez</cp:lastModifiedBy>
  <cp:lastPrinted>2023-07-31T19:10:59Z</cp:lastPrinted>
  <dcterms:created xsi:type="dcterms:W3CDTF">2019-12-17T17:33:45Z</dcterms:created>
  <dcterms:modified xsi:type="dcterms:W3CDTF">2023-12-13T16:30:57Z</dcterms:modified>
</cp:coreProperties>
</file>